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1" sheetId="1" r:id="rId1"/>
    <sheet name="дод.2" sheetId="2" r:id="rId2"/>
    <sheet name="дод.3" sheetId="3" r:id="rId3"/>
    <sheet name="дод.4" sheetId="4" r:id="rId4"/>
    <sheet name="дод.5" sheetId="5" r:id="rId5"/>
    <sheet name="дод.6" sheetId="6" r:id="rId6"/>
    <sheet name="дод.7" sheetId="7" r:id="rId7"/>
  </sheets>
  <definedNames>
    <definedName name="_xlfn.AGGREGATE" hidden="1">#NAME?</definedName>
    <definedName name="OLE_LINK1" localSheetId="4">'дод.5'!$G$22</definedName>
    <definedName name="_xlnm.Print_Titles" localSheetId="0">'дод.1'!$A:$E,'дод.1'!#REF!</definedName>
    <definedName name="_xlnm.Print_Titles" localSheetId="1">'дод.2'!$6:$6</definedName>
    <definedName name="_xlnm.Print_Titles" localSheetId="2">'дод.3'!$5:$9</definedName>
    <definedName name="_xlnm.Print_Titles" localSheetId="5">'дод.6'!$E:$F,'дод.6'!#REF!</definedName>
    <definedName name="_xlnm.Print_Area" localSheetId="0">'дод.1'!$A$1:$F$104</definedName>
    <definedName name="_xlnm.Print_Area" localSheetId="1">'дод.2'!$A$2:$F$31</definedName>
    <definedName name="_xlnm.Print_Area" localSheetId="2">'дод.3'!$A$1:$R$69</definedName>
    <definedName name="_xlnm.Print_Area" localSheetId="3">'дод.4'!$B$1:$Q$17</definedName>
    <definedName name="_xlnm.Print_Area" localSheetId="4">'дод.5'!$D$4:$K$14</definedName>
    <definedName name="_xlnm.Print_Area" localSheetId="5">'дод.6'!$B$1:$K$110</definedName>
    <definedName name="_xlnm.Print_Area" localSheetId="6">'дод.7'!$A$1:$J$48</definedName>
  </definedNames>
  <calcPr fullCalcOnLoad="1"/>
</workbook>
</file>

<file path=xl/sharedStrings.xml><?xml version="1.0" encoding="utf-8"?>
<sst xmlns="http://schemas.openxmlformats.org/spreadsheetml/2006/main" count="1119" uniqueCount="494">
  <si>
    <t>Надання  спеціальної  освіти школами естетичного виховання (музичними, художніми, хореографічними, театральними, хоровими, мистецькими)</t>
  </si>
  <si>
    <t>0600000</t>
  </si>
  <si>
    <t>0610000</t>
  </si>
  <si>
    <t>0611010</t>
  </si>
  <si>
    <t>0611020</t>
  </si>
  <si>
    <t>0611090</t>
  </si>
  <si>
    <t>0615031</t>
  </si>
  <si>
    <t>0615011</t>
  </si>
  <si>
    <t>0615012</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</si>
  <si>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</si>
  <si>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</si>
  <si>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450000</t>
  </si>
  <si>
    <t>12414900</t>
  </si>
  <si>
    <t>Доходи  на 2018 рік</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</si>
  <si>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</si>
  <si>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</si>
  <si>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</si>
  <si>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РАЗОМ ДОХОДІВ</t>
  </si>
  <si>
    <t>Офіційні трансферти  </t>
  </si>
  <si>
    <t>Від органів державного управління  </t>
  </si>
  <si>
    <t>Базова дотація</t>
  </si>
  <si>
    <t>Освітня субвенція з державного бюджету місцевим бюджетам</t>
  </si>
  <si>
    <t>ВСЬОГО ДОХОДІВ</t>
  </si>
  <si>
    <t>Адміністративний збір за державну  реєстрацію речових прав на нерухоме  майно та їх обтяжень</t>
  </si>
  <si>
    <t>містобудівна документація</t>
  </si>
  <si>
    <t>Програма розвитку Трудового архіву  Летичівської селищної ради Летичівського району Хмельницької області на 2016 - 2018 роки</t>
  </si>
  <si>
    <t>Програма "Турбота" Летичівської селищної ради на 2016-2018 роки</t>
  </si>
  <si>
    <t>Програма оздоровлення та відпочинку дітей Летичівської ОТГ на 2016-2020 роки</t>
  </si>
  <si>
    <t xml:space="preserve">Програма  захисту  населення  і  територій від  надзвичайних ситуацій техногенного та природного характеру  на території Летичівської селищної ради на 2016-2020 роки </t>
  </si>
  <si>
    <t>грн.</t>
  </si>
  <si>
    <t>Кошти від реалізації безхазяйного майна, знахідок, спадкового майна, майна, одержаного  територіальною громадою в порядку спадкування  чи дарування , а також валюьні цінності і грошові кошти,  власники яких невідомі</t>
  </si>
  <si>
    <t>Частина чистого прибутку (доходу) комунальних унітарних підприємств та їх об"єднань, що вилучається до відповідного місцевого бюджету</t>
  </si>
  <si>
    <t>інша</t>
  </si>
  <si>
    <t>0111</t>
  </si>
  <si>
    <t>1020</t>
  </si>
  <si>
    <t>0320</t>
  </si>
  <si>
    <t>0113104</t>
  </si>
  <si>
    <t>Туристичний збір, сплачений юридичними особами </t>
  </si>
  <si>
    <t>0456</t>
  </si>
  <si>
    <t>0180</t>
  </si>
  <si>
    <t>0910</t>
  </si>
  <si>
    <t>0921</t>
  </si>
  <si>
    <t>0960</t>
  </si>
  <si>
    <t>0990</t>
  </si>
  <si>
    <t>0810</t>
  </si>
  <si>
    <t>0829</t>
  </si>
  <si>
    <t>0824</t>
  </si>
  <si>
    <t>0828</t>
  </si>
  <si>
    <t>3104</t>
  </si>
  <si>
    <t>6060</t>
  </si>
  <si>
    <t>Летичівський районний бюджет</t>
  </si>
  <si>
    <t>Проведення  навчально - тренувалних зборів і змагань  з неолімпійських видів спорту</t>
  </si>
  <si>
    <t>200000</t>
  </si>
  <si>
    <t>Внутрішнє фінансування</t>
  </si>
  <si>
    <t xml:space="preserve">Фінансування за рахунок зміни залишків коштів селищного бюджету </t>
  </si>
  <si>
    <t xml:space="preserve">На початок періоду </t>
  </si>
  <si>
    <t>Кошти, що передаються із загального фонду бюджету до бюджету розвитку (спеціального фонду)</t>
  </si>
  <si>
    <t>ВСЬОГО</t>
  </si>
  <si>
    <t>Баланс</t>
  </si>
  <si>
    <t>Залишки освітньої субвенції, що передаються із загального фонду бюджету до бюджету розвитку (спеціального фонду)</t>
  </si>
  <si>
    <t>Кошти, що передаються із загального фонду бюджету до бюджету розвитку (спеціального фонду) за рахунок перевиконання</t>
  </si>
  <si>
    <t>Акцизний податок з вироблених в Україна підакцизних товаріві підакцизних товарів</t>
  </si>
  <si>
    <t>Акцизний податок з ввезенних на митну територію в України підакцизну продукцію</t>
  </si>
  <si>
    <t xml:space="preserve"> субвенції, що передаються із загального фонду бюджету до бюджету розвитку (спеціального фонду)</t>
  </si>
  <si>
    <t>Обласний бюджет</t>
  </si>
  <si>
    <t>Субвенції</t>
  </si>
  <si>
    <t>Код</t>
  </si>
  <si>
    <t>Найменування 
згідно з класифікацією фінансування бюджету</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</si>
  <si>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</si>
  <si>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</si>
  <si>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</si>
  <si>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</si>
  <si>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</si>
  <si>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</si>
  <si>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</si>
  <si>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</si>
  <si>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</si>
  <si>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</si>
  <si>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</si>
  <si>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</si>
  <si>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</si>
  <si>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t>
  </si>
  <si>
    <t>Надання кредитів</t>
  </si>
  <si>
    <t>Повернення кредитів</t>
  </si>
  <si>
    <t>Кредитування-всього</t>
  </si>
  <si>
    <t>Субвенція загального фонду на:</t>
  </si>
  <si>
    <t>Субвенція спеціального фонду на:</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</si>
  <si>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</si>
  <si>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</si>
  <si>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</si>
  <si>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</si>
  <si>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</si>
  <si>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</si>
  <si>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</si>
  <si>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</si>
  <si>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</si>
  <si>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</si>
  <si>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Код бюджету</t>
  </si>
  <si>
    <t xml:space="preserve">Назва місцевого бюджету адміністративно-територіальної одиниці  </t>
  </si>
  <si>
    <t>О5</t>
  </si>
  <si>
    <t>О3</t>
  </si>
  <si>
    <t>O2</t>
  </si>
  <si>
    <t>О4</t>
  </si>
  <si>
    <t>в т.ч. бюджет розвитку</t>
  </si>
  <si>
    <t>…</t>
  </si>
  <si>
    <t>(тис. грн.)/грн.</t>
  </si>
  <si>
    <t>0100000</t>
  </si>
  <si>
    <t>бюджет розвитку</t>
  </si>
  <si>
    <t xml:space="preserve">Всього </t>
  </si>
  <si>
    <t xml:space="preserve">з них </t>
  </si>
  <si>
    <t>Додаток № 2
до рішення  Летичівської селищної ради №  1  від 05.09.2018 р
"Про внесення змін до селищного  бюджету  на 2018 рік"</t>
  </si>
  <si>
    <t>до рішення сесії Летичівської селищної ради  № 1 від 05.09.2018 р</t>
  </si>
  <si>
    <t>Додаток 3  до рішення Летичівської селищної ради № 1 від 05.09.2018 р
"Про внесення змін до селищного  бюджету  на 2018 рік"</t>
  </si>
  <si>
    <t>Додаток № 4
до рішення Летичівської селищної ради № 1 від 05.09.2018 р
"Про внесення змін до селищного  бюджету  на 2018 рік"</t>
  </si>
  <si>
    <t>Додаток № 5
до рішення Летичівської селищної ради № 1  від 05.09.2018 року
"Про внесення змін до селищного бюджету  на 2018 рік"</t>
  </si>
  <si>
    <t>Додаток № 6
до рішення Летичівської селищної ради № 1  від 05.09.2018 р
"Про внесення змін до селищного  бюджету  на 2018 рік"</t>
  </si>
  <si>
    <t>Додаток № 7
до рішення Летичівської селищної ради № 1 від 05.09.2018 р
"Про внесення змін до селищного  бюджету  на 2018 рік"</t>
  </si>
  <si>
    <t>Придбання інтерактивних проекторів для НУШ</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</si>
  <si>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</si>
  <si>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</si>
  <si>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</si>
  <si>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</si>
  <si>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Найменування місцевої (регіональної) програми</t>
  </si>
  <si>
    <t>Разом загальний та спеціальний фонди</t>
  </si>
  <si>
    <t>Місцеві податки</t>
  </si>
  <si>
    <t>Назва об’єктів відповідно  до проектно- кошторисної документації тощо</t>
  </si>
  <si>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</si>
  <si>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r>
      <t>Код ТПКВКМБ /
ТКВКБМС</t>
    </r>
    <r>
      <rPr>
        <vertAlign val="superscript"/>
        <sz val="8"/>
        <rFont val="Times New Roman"/>
        <family val="1"/>
      </rPr>
      <t>2</t>
    </r>
  </si>
  <si>
    <r>
      <t>Код програмної класифікації видатків та кредитування місцевих бюджетів</t>
    </r>
    <r>
      <rPr>
        <vertAlign val="superscript"/>
        <sz val="8"/>
        <rFont val="Times New Roman"/>
        <family val="1"/>
      </rPr>
      <t>1</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</si>
  <si>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</si>
  <si>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r>
      <t>Код програмної класифікації видатків та кредитування місцевих бюджетів</t>
    </r>
    <r>
      <rPr>
        <b/>
        <vertAlign val="superscript"/>
        <sz val="10"/>
        <rFont val="Times New Roman"/>
        <family val="1"/>
      </rPr>
      <t>2</t>
    </r>
  </si>
  <si>
    <r>
      <t>Код ТПКВКМБ /
ТКВКБМС</t>
    </r>
    <r>
      <rPr>
        <b/>
        <vertAlign val="superscript"/>
        <sz val="10"/>
        <rFont val="Times New Roman"/>
        <family val="1"/>
      </rPr>
      <t>3</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</si>
  <si>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програмно-цільового методу у бюджетному процесі.</t>
    </r>
  </si>
  <si>
    <r>
      <rPr>
        <vertAlign val="superscript"/>
        <sz val="10"/>
        <rFont val="Times New Roman"/>
        <family val="1"/>
      </rPr>
      <t>3</t>
    </r>
    <r>
      <rPr>
        <sz val="10"/>
        <rFont val="Times New Roman"/>
        <family val="1"/>
      </rPr>
      <t xml:space="preserve">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r>
  </si>
  <si>
    <r>
      <t>Код ФКВКБ</t>
    </r>
    <r>
      <rPr>
        <strike/>
        <vertAlign val="superscript"/>
        <sz val="8"/>
        <rFont val="Times New Roman"/>
        <family val="1"/>
      </rPr>
      <t>3</t>
    </r>
  </si>
  <si>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</si>
  <si>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r>
      <t>Код ФКВКБ</t>
    </r>
    <r>
      <rPr>
        <vertAlign val="superscript"/>
        <sz val="8"/>
        <rFont val="Times New Roman"/>
        <family val="1"/>
      </rPr>
      <t>3</t>
    </r>
  </si>
  <si>
    <r>
      <rPr>
        <vertAlign val="superscript"/>
        <sz val="10"/>
        <rFont val="Times New Roman"/>
        <family val="1"/>
      </rPr>
      <t xml:space="preserve">4 </t>
    </r>
    <r>
      <rPr>
        <sz val="10"/>
        <rFont val="Times New Roman"/>
        <family val="1"/>
      </rPr>
      <t>Код функціональної класифікації видатків та кредитування бюджету, затвердженої наказом Міністерства фінансів України від 14.01.2011 № 11 (зі змінами).</t>
    </r>
  </si>
  <si>
    <r>
      <t>Код ФКВКБ</t>
    </r>
    <r>
      <rPr>
        <b/>
        <vertAlign val="superscript"/>
        <sz val="10"/>
        <rFont val="Times New Roman"/>
        <family val="1"/>
      </rPr>
      <t>4</t>
    </r>
  </si>
  <si>
    <t>Летичівська селищна рада</t>
  </si>
  <si>
    <t>1090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</si>
  <si>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</si>
  <si>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1040</t>
  </si>
  <si>
    <t>0116060</t>
  </si>
  <si>
    <t>0620</t>
  </si>
  <si>
    <t>Благоустрій міст, сіл, селищ</t>
  </si>
  <si>
    <t>0443</t>
  </si>
  <si>
    <t>0133</t>
  </si>
  <si>
    <t>0512</t>
  </si>
  <si>
    <t>Утилізація відходів</t>
  </si>
  <si>
    <t>Медична субвенція з державного бюджету місцевим бюджетам</t>
  </si>
  <si>
    <t>Резервний фонд</t>
  </si>
  <si>
    <t>Відділ освіти, молоді і спорту Летичівської селищної ради</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</si>
  <si>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</si>
  <si>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</si>
  <si>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Утримання та навчально - тренувальна  робота комунальних  дитячо-юнацьких спортивних шкіл</t>
  </si>
  <si>
    <r>
      <t>РОЗПОДІЛ</t>
    </r>
    <r>
      <rPr>
        <b/>
        <sz val="14"/>
        <rFont val="Times New Roman"/>
        <family val="0"/>
      </rPr>
      <t xml:space="preserve">
видатків селищного  бюджету  на 2018 рік</t>
    </r>
  </si>
  <si>
    <t>Повернення кредитів до селищного бюджету  та розподіл надання кредитів 
з селищного  бюджету  в  2018 році</t>
  </si>
  <si>
    <t xml:space="preserve">Перелік місцевих (регіональних) програм, які фінансуватимуться за рахунок коштів
селищного бюджету  у 2018 році
</t>
  </si>
  <si>
    <t>Міжбюджетні трансферти  з селищного  бюджету  місцевим/державному бюджетам  на 2018 рік</t>
  </si>
  <si>
    <r>
      <t>Перелік об’єктів, видатки на які у 2018  році будуть проводитися за рахунок коштів бюджету розвитку</t>
    </r>
    <r>
      <rPr>
        <b/>
        <vertAlign val="superscript"/>
        <sz val="14"/>
        <rFont val="Times New Roman"/>
        <family val="1"/>
      </rPr>
      <t>1</t>
    </r>
  </si>
  <si>
    <t>Фінансування  селищного  бюджету  Летичівської селищної ради на 2018 рік</t>
  </si>
  <si>
    <t>0116013</t>
  </si>
  <si>
    <t>6013</t>
  </si>
  <si>
    <t>0120180</t>
  </si>
  <si>
    <t>0110180</t>
  </si>
  <si>
    <t>0113242</t>
  </si>
  <si>
    <t>3242</t>
  </si>
  <si>
    <t>Інші заходи  у сфері  соціального захисту і соціального забезпечення</t>
  </si>
  <si>
    <t>0117461</t>
  </si>
  <si>
    <t>7461</t>
  </si>
  <si>
    <t>Утримання та розвиток автомобільних доріг та дорожньої  інфраструктури  за рахунок  коштів місцевого бюджету</t>
  </si>
  <si>
    <t>Інша діяльність у сфері державного управління</t>
  </si>
  <si>
    <t>Забезпечення діяльності інших  закладів  в галузі культури і мистецтва</t>
  </si>
  <si>
    <t>0112146</t>
  </si>
  <si>
    <t>2146</t>
  </si>
  <si>
    <t>0112152</t>
  </si>
  <si>
    <t>2152</t>
  </si>
  <si>
    <t>Інші програми та заходи у сфері  охорони здоров"я</t>
  </si>
  <si>
    <t>0119130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</si>
  <si>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</si>
  <si>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</si>
  <si>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0611161</t>
  </si>
  <si>
    <t>Забезпечення діяльності інших  закладів у сфері освіти</t>
  </si>
  <si>
    <t>0613131</t>
  </si>
  <si>
    <t>0726</t>
  </si>
  <si>
    <t>Відшкодування вартості лікарських засобів для лікування окремих захворювань</t>
  </si>
  <si>
    <t>Заходи із запобігання та ліквідації  надзвичайних  ситуацій та наслідків стихійного лиха</t>
  </si>
  <si>
    <t>Розроблення  схем планування та забудови територій (містобудівної документації)</t>
  </si>
  <si>
    <t>Здійснення заходів  та реалізація  проектів на виконання  Державної цільової соціальної програми  "Молодь України"</t>
  </si>
  <si>
    <t>Дотації з державного бюджету місцевим бюджетам</t>
  </si>
  <si>
    <t>придбання ноутбука та проектора в Летичівський ДНЗ № 1 та пилососа в ДНЗ "Суничка"</t>
  </si>
  <si>
    <t>Субвенції  з державного бюджету місцевим бюджетам</t>
  </si>
  <si>
    <t>Дотації з місцевих бюджетів іншим  місцевим бюджетам</t>
  </si>
  <si>
    <t>Субвенції з місцевих бюджетів  іншим місцевим бюджетам</t>
  </si>
  <si>
    <t>Пальне</t>
  </si>
  <si>
    <t>Програма "Питна вода на 2016-2020 роки"</t>
  </si>
  <si>
    <t>Програма благоустрою  Летичівської селищної ради на 2018 рік</t>
  </si>
  <si>
    <t>Програма забезпечення екологічного безпечного збирання, перевезення, захоронення відходів у населених пунктах Летичівської обєднаної територіальної громади на 2018 рік</t>
  </si>
  <si>
    <t>Програма забезпечення містобудівною документацією населених пунктів на території Летичівської селищної ради на 2018 рік</t>
  </si>
  <si>
    <t>Програма подальшого вдосконалення соціальної роботи у Летичівській ОТГ на 2016-2018  роки</t>
  </si>
  <si>
    <t xml:space="preserve">Програма покращення надання медичної допомоги хворим, які потребують гемодіалізу на 2018-2020 роки </t>
  </si>
  <si>
    <t>Капітальний ремонт тротуару по вул .Кармелюка смт.Летичів</t>
  </si>
  <si>
    <t>Капітальний ремонт  вул .Івана Зубкова смт.Летичів</t>
  </si>
  <si>
    <t>Капітальний ремонт  вул .Смолінського Леоніда смт.Летичів</t>
  </si>
  <si>
    <t>Капітальний ремонт  вул .Шевченка смт.Летичів</t>
  </si>
  <si>
    <t>Капітальний ремонт  вул .Лікарської смт.Летичів</t>
  </si>
  <si>
    <t>Капітальний ремонт  вул .Бурко с.Голенищево</t>
  </si>
  <si>
    <t>0118210</t>
  </si>
  <si>
    <t>Муніципальні формування з охорони громадського порядку</t>
  </si>
  <si>
    <t>8210</t>
  </si>
  <si>
    <t>0380</t>
  </si>
  <si>
    <t>0119800</t>
  </si>
  <si>
    <t>9800</t>
  </si>
  <si>
    <t>Субвенція з місцевого бюджету державному бюджету  на виконання  програм соціально - економічного та культурного розвитку  регіонів</t>
  </si>
  <si>
    <t>017130</t>
  </si>
  <si>
    <t>7130</t>
  </si>
  <si>
    <t>Здійснення заходів з землеустрою</t>
  </si>
  <si>
    <t>0117110</t>
  </si>
  <si>
    <t>7110</t>
  </si>
  <si>
    <t>Реалізація програм в галузі сільського господарства</t>
  </si>
  <si>
    <t>0116020</t>
  </si>
  <si>
    <t>6020</t>
  </si>
  <si>
    <t>Забезпечення функціонування  підприємств, установ та організацій, що виробляють, виконують та/або надають житлово - комунальні послуги"</t>
  </si>
  <si>
    <t>0117413</t>
  </si>
  <si>
    <t>7413</t>
  </si>
  <si>
    <t>Інша діяльність у сфері автотранспорту</t>
  </si>
  <si>
    <t>0117363</t>
  </si>
  <si>
    <t>7363</t>
  </si>
  <si>
    <t>Виконання інвестиційних програм в рамках здійснення заходів щодо соціально - економічного  розвитку окремих територій (включаючи співфінансування)</t>
  </si>
  <si>
    <t>0421</t>
  </si>
  <si>
    <t>0490</t>
  </si>
  <si>
    <t>0451</t>
  </si>
  <si>
    <t>Програма здійснення землеустрою на території Летичівської селищної ради на 2018-2019 роки</t>
  </si>
  <si>
    <t>Придбання обладнання для дитячої телестудії в Летичівській НВК № 2 "ЗОШ 1-3 ст. - гімназії"</t>
  </si>
  <si>
    <t>Придбання 2 ноутбуків в Летичівський ДНЗ "Дзвіночок" та "Веселка"</t>
  </si>
  <si>
    <t>Програма підтримки сільськогосподарських товаровиробників на території Летичівської селищної ради на 2017-2018 роки</t>
  </si>
  <si>
    <t>Програма розвитку комунального госпрозрахункового підприємства "Злагода" Летичівської селищної ради на 2016-2018 роки</t>
  </si>
  <si>
    <t>Завершення реконструкції каналізаційно - напірної станції та напірного колектора смт.Летичів</t>
  </si>
  <si>
    <t>співфінансування реконструкції очисних споруд</t>
  </si>
  <si>
    <t>Виготовлення проектно - кошторисної документації та проведення експертизи на капітальний ремонт приміщення КУ "Летичівський будинок культури"</t>
  </si>
  <si>
    <t xml:space="preserve">Придбання автобусів </t>
  </si>
  <si>
    <t>Співфінансування реконструкції Летичівського НВК № 2 "ЗОШ 1-3 ст. - гімназії"</t>
  </si>
  <si>
    <t>Виготовлення проектно - кошторисної документації на проведення реконструкції  (утеплення) Летичівського ДНЗ № 1 "Калинонька"</t>
  </si>
  <si>
    <t>Придбання ноутбука в Летичівський НВК № 2 "ЗОШ 1-3 ст. - гімназії"</t>
  </si>
  <si>
    <t>Придбання цифрового вимірювального комплексу в Летичівський НВК № 1 "ЗОШ 1-3 ст. - ліцей"</t>
  </si>
  <si>
    <t>Придбання комп'ютерної техніки</t>
  </si>
  <si>
    <t>Придбання 7 ноутбуків</t>
  </si>
  <si>
    <t>Будівництво експлуатаційно - розвідквальної свердловини та мережі водопостачання в с.Сахни Летичівського району Хмельницької області</t>
  </si>
  <si>
    <t>Завершення капітального ремонту тротуарної доріжки в Летичівському ДНЗ № 1 Калинонька</t>
  </si>
  <si>
    <t>" Про внесення змін до селищного  бюджету  на 2018 рік"</t>
  </si>
  <si>
    <t>0113192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</si>
  <si>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</si>
  <si>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</si>
  <si>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«Програма підтримки індивідуального житлового будівництва на селі та поліпшення житлово-побутових умов сільського населення «Власний дім» на 2016-2020 роки»</t>
  </si>
  <si>
    <t>Надання кредиту</t>
  </si>
  <si>
    <t>Надання фінансової підтримки громадським організаціям інвалідів і ветеранів, діяльність яких має соціальну спрямованність</t>
  </si>
  <si>
    <t>«Програма соціальної підтримки, трудової і медичної реабілітації та інтеграції інвалідів по зору Летичівської ТПО УТОС  на 2016-2018 роки»</t>
  </si>
  <si>
    <t>«Програма соціальної, трудової, медичної реабілітаційної допомоги інвалідам другої світової  війни, учасникам бойових дій, учасникам війни, дітям війни, ветеранам праці, людям похилого віку  на 2016-2020 роки»</t>
  </si>
  <si>
    <t>0118831</t>
  </si>
  <si>
    <t>8831</t>
  </si>
  <si>
    <t>Програма розвитку пасажирських перевезень у Летичівській  селищній об'єднанній територіальній громаді на 2018-2019 роки</t>
  </si>
  <si>
    <t>Програма покращення координації та повсякденної (оперативної) діяльності громадських формувань з охорони громадського порядку на території Летичівської селищної ради на 2016 – 2020 роки.</t>
  </si>
  <si>
    <t>проведення експертизи проектно - кошторисної документації  на будівництво лінії електропередач для вуличного освітлення в с.Чапля Летичівського району</t>
  </si>
  <si>
    <t>проведення експертизи проектно - кошторисної документації  на будівництво лінії електропередач для вуличного освітлення в с.Марківці Летичівського району</t>
  </si>
  <si>
    <t>поповнення бібліотечного фонду</t>
  </si>
  <si>
    <t>Співфінансування інвестиційних проектів, що реалізуються за рахунок коштів державного фонду регіонального розвитку</t>
  </si>
  <si>
    <t>0617361</t>
  </si>
  <si>
    <t>1030</t>
  </si>
  <si>
    <t>1060</t>
  </si>
  <si>
    <t>Виготовлення проектно - кошторисної  документації та проведення експертизи  на капітальний ремонт вул.Смолінського Леоніда від житлового будинку № 29 до провулку Чапаєва смт.Летичів</t>
  </si>
  <si>
    <t>оплата коригування та експертизи проектно - кошторисної документації  на капітальний ремонт (посилення покриття) вул.Ю.Бурка с.Голенищеве Летичівського району Хмельницької області</t>
  </si>
  <si>
    <t>оплата коригування та експертизи проектно - кошторисної документації  на капітальний ремонт дороги по вул.Лікарської  смт.Летичів</t>
  </si>
  <si>
    <t>оплата коригування та експертизи проектно - кошторисної документації  на капітальний ремонт  вул.Войтова  смт.Летичів</t>
  </si>
  <si>
    <t>оплата коригування та експертизи проектно - кошторисної документації  на капітальний ремонт  вул.Мазура Василя смт.Летичів</t>
  </si>
  <si>
    <t>оплата коригування та експертизи проектно - кошторисної документації  на капітальний ремонт  вул.Шевченка смт.Летичів</t>
  </si>
  <si>
    <t xml:space="preserve">оплата коригування та експертизи проектно - кошторисної документації  на капітальний ремонт  вул.Зубкова від ПК24+87 до вул.Героїв Крут (ПК 28+03) в смт.Летичів </t>
  </si>
  <si>
    <t>придбання шкільного автобуса</t>
  </si>
  <si>
    <t>оплата експертизи проектно - кошторисної документації по реконструкції  Голенищівської ЗОШ 1-3 ст.</t>
  </si>
  <si>
    <t>придбання бетономішалки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</si>
  <si>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</si>
  <si>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</si>
  <si>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придбання персональних компютерів/ноутбуків та техніки для друкування, копіювання, сканування та ламінування з витратними матеріалами для початкової школи</t>
  </si>
  <si>
    <t xml:space="preserve">оснащення закладів загальної середньої освіти з поглибленим/профільним вивченням природничих та математичних предметів та опорних шкіл засобами навчання, у тому числі кабінетами фізики, хімії, біології, географії, математики, мультимедійними засобами навчання </t>
  </si>
  <si>
    <t>оснащення кабінетів інклюзивно-ресурсних центрів</t>
  </si>
  <si>
    <t>придбання ноутбукыв в Летичівський НВК № 3 "ЗОШ 1-3 ст. - дошкыльний заклад"</t>
  </si>
  <si>
    <t>0117361</t>
  </si>
  <si>
    <t>7361</t>
  </si>
  <si>
    <t>Секретар ради</t>
  </si>
  <si>
    <t>О.В.Попова</t>
  </si>
  <si>
    <t>Секретар ради                                                                                                                                             О.В.Попова</t>
  </si>
  <si>
    <t>Програма розвитку автомобільних доріг загального користування місцевого значення  на території  Летичівської селищної об'єднанної територіальної громади на 2016-2018 роки</t>
  </si>
  <si>
    <t>Придбання блузок та свитки для колективу "Кулібаба"</t>
  </si>
  <si>
    <t>Придбання системного блоку</t>
  </si>
  <si>
    <t>0117670</t>
  </si>
  <si>
    <t>7670</t>
  </si>
  <si>
    <t>Внески до статутного капіталу суб'єктів господарювання</t>
  </si>
  <si>
    <t>3550003</t>
  </si>
  <si>
    <t>придбання спортивного майданчика для жителів с.Голенищево</t>
  </si>
  <si>
    <t>придбання спортивно - ігрового комплексу в с.Майдан - Голенищівський</t>
  </si>
  <si>
    <t>Організація центру дозвілля</t>
  </si>
  <si>
    <t>Плата за розміщення тимчасово вільних коштів місцевого бюджету</t>
  </si>
  <si>
    <t>придбання морозильної камери для Голенищівської ЗОШ 1-3 ст.</t>
  </si>
  <si>
    <t>придбання холодильника для Голенищівської ЗОШ 1-3 ст.</t>
  </si>
  <si>
    <t>Комплексна програма мобілізації зусиль Летичівської селищної ради та Летичівського відділення Красилівської об’єднаної державної податкової інспекції ГУ ДФС у Хмельницькій області щодо організації сервісного обслуговування платників податків, створення комфортних умов платникам податків та належного їх обслуговування на 2017-2019 роки</t>
  </si>
  <si>
    <t>Реконструкція мережі водопостачання по вул.Гончарна в смт.Летичів Хмельницької області</t>
  </si>
  <si>
    <t>0613140</t>
  </si>
  <si>
    <t>1070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</si>
  <si>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</si>
  <si>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Придбання ноутбука </t>
  </si>
  <si>
    <t>0615051</t>
  </si>
  <si>
    <t>Фінансова підтримка регіональних  всеукраїнських організацій фізкультурно - спортивної спрямованості для проведення  навчально - тренувальної та спортивної роботи</t>
  </si>
  <si>
    <t>Цільова програма розвитку фізичної культури і спорту на 2017-2021 роки</t>
  </si>
  <si>
    <t>Виготовлення проектно - кошторисної документації та проведення капітального ремонту доріжки в парку Слави по вул.Савіцького Юрія смт.Летичів</t>
  </si>
  <si>
    <t>виготовлення проектно - кошторисної документації  на капітальний ремонт - відновлення  кріплення верхового укосу земельної дамби водойми УТМР   на річці Вовк в смт.Летичів Хмельницької області</t>
  </si>
  <si>
    <t>виготовлення проектно - кошторисної документації  на капітальний ремонт  - очищення від намулу, відкладів та завалів  водойми УТМР на річці Вовк в смт.Летичів Хмельницької області</t>
  </si>
  <si>
    <t>Програма сприяння  утриманню ландшафтного заказника "Долина"</t>
  </si>
  <si>
    <t>Придбання бензопили та мотокоси в Летичівський НВК № 1 (ЗОШ 1-3 ст. - ліцей"</t>
  </si>
  <si>
    <t>Нове будівництво лінії водопостачання від будинку № 34  до будинку № 83 по вул.Кармалюка в смт.Летичів</t>
  </si>
  <si>
    <t>реконструкція  лінії водопостачання до будинку по вул.Свободи, 31/1 смт.Летичів</t>
  </si>
  <si>
    <t xml:space="preserve">реконструкція лінії водопостачання від водонапірної башти до існуючої мережі по 2 провулку Пушкіна смт.Летичів </t>
  </si>
  <si>
    <t xml:space="preserve">реконструкція свердловини системи водопостачання (район цегельного заводу) в смт.Летичів </t>
  </si>
  <si>
    <t>виготовлення проектно – кошторисної документації і проведення експертизи на капітальний ремонт дорожнього покриття  частини дороги по вул.Коцюбинського смт.Летичів</t>
  </si>
  <si>
    <t>виготовлення проектно – кошторисної документації і проведення експертизи на капітальний ремонт дорожнього покриття  частини дороги вул.Подільської смт.Летичів</t>
  </si>
  <si>
    <t>0117367</t>
  </si>
  <si>
    <t>7367</t>
  </si>
  <si>
    <t>Виконання інвестиційних проектів в рамках реалізації заходів, спрямованих на розвиток  системи охорони здоров'я у сільській місцевості (включаючи співфінансування)</t>
  </si>
  <si>
    <t>співфінансування будівництва Новокостянтинівської амбулаторії  загальної практики  сімейної медицини  по вул.Центральній в с.Новокостянтинів Летичівського району (Летичівська  об’єднана територіальна громада)</t>
  </si>
  <si>
    <t>виготовлення проектно – кошторисної документації і проведення експертизи на капітальний ремонт дорожнього покриття  частини дороги вул.Осліковського смт.Летичів</t>
  </si>
  <si>
    <t>поповнення статутного фонду</t>
  </si>
  <si>
    <t>0117680</t>
  </si>
  <si>
    <t>7680</t>
  </si>
  <si>
    <t>Членські внески до асоціацій органів місцевого самоврядування</t>
  </si>
  <si>
    <t>придбання автобусних зупинок с.Івоненці та с.Михунки</t>
  </si>
  <si>
    <t>виготовлення проектно - кошторисної документації та проведення експертизи дороги по вул. Княгині Ольги смт.Летичів</t>
  </si>
  <si>
    <t>0118420</t>
  </si>
  <si>
    <t>8420</t>
  </si>
  <si>
    <t>Інші заходи у сфері  засобів масової інформації</t>
  </si>
  <si>
    <t>0830</t>
  </si>
  <si>
    <t>виготовлення проектно - кошторисних документацій та проведення експертизи на будівництво двох розвідувально - експлуатаційних свердловин для забезпечення господарсько - питного водопостачання  с.Суслівці Летичівського району Хмельницької області</t>
  </si>
  <si>
    <t>співфінансування для придбання меблів та обладнання для перших класів нової української школи</t>
  </si>
  <si>
    <t>придбання стільчика в Суловецький ДНЗ для дитини, що знаходиться на інклюзивній формі навчання</t>
  </si>
  <si>
    <t>проведення капітального ремонту системи опалення Летичівської дитячо - юнацької спортивної школи</t>
  </si>
  <si>
    <t>Програма підтримки місцевих засобів масової інформації на 2017-2020 роки</t>
  </si>
  <si>
    <t>Придбання лінії гарячого харчування в Летичівський НВК № 2 "ЗОШ 1-3 ст. - гімназія"</t>
  </si>
  <si>
    <t xml:space="preserve">Комплексна програма профілактики правопорушень та боротьби зі злочинністю на території Летичівської селищної ради Хмельницької області на 2016-2020  роки   </t>
  </si>
  <si>
    <t xml:space="preserve">Придбання стаціонарного  гучномовного обладнання  для озвучення  та оповіщення територій про загрозу  виникнення надзвичайних ситуацій </t>
  </si>
  <si>
    <t>Програма якісного обслуговування та соціальної підтримки  населення на території Летичівської селищної об'єднанної територіальної громади  Хмельницької області на 2018 рік</t>
  </si>
  <si>
    <t>Будівництво експлуатаційно - розвідувальної свердловини та мережі водопостачання по вул.Центральній та вул.Колгоспній в с.Гречинці Летичівського району Хмельницької області</t>
  </si>
  <si>
    <t>Будівництво мережі водопостачання по вул.Центральній в с.Майдан - Голенищівський Летичівського району Хмельницької області</t>
  </si>
  <si>
    <t>Субвенція з державного бюджету місцевим бюджетам на формування інфраструктури об’єднаних територіальних громад</t>
  </si>
  <si>
    <t>0117362</t>
  </si>
  <si>
    <t>7362</t>
  </si>
  <si>
    <t>Капітальний ремонт (посилення дорожнього покриття) вул. Комарова, смт. Летичів Летичівського району, Хмельницької області</t>
  </si>
  <si>
    <t>Закупівля транспортних засобів спеціального призначення (сміттєвоз) та встановлення комплектувальних виробів (сміттєвозне обладнання типу ВЛІВ супер міні Б) для транспортних засобів спеціального призначення комунального госпрозрахункового підприємства “Злагода” Летичівської селищної ради</t>
  </si>
  <si>
    <t>Реконструкція мережі водопостачання до приміщення Летичівського територіального центру соціального обслуговування по вул. Соборна, 10 в смт Летичів, Хмельницької області</t>
  </si>
  <si>
    <t>Реконструкція мережі водопостачання від напірної башти до існуючої мережі по 2 провулку Пушкіна в смт. Летичів, Хмельницької області</t>
  </si>
  <si>
    <t>Реконструкція мережі водопостачання від будинку №34 по будинок №83 по вул.Кармелюка в смт Летичів, Хмельницької області</t>
  </si>
  <si>
    <t>Капітальний ремонт вул. Войтова в смт.Летичів Хмельницької області</t>
  </si>
  <si>
    <t xml:space="preserve"> Капітальний ремонт вул. Мазура Василя в смт.Летичів Хмельницької області</t>
  </si>
  <si>
    <t>Капітальний ремонт вул.Осліковського від ПК0 до ПК2 в смт. Летичів, Хмельницької області</t>
  </si>
  <si>
    <t>Виконання інвестиційних проектів в рамках формування інфраструктури об'єднаних територіальних громад (включаючи співфінансування)</t>
  </si>
  <si>
    <t>0611170</t>
  </si>
  <si>
    <t>Надання допомоги дітям - сиротам та дітям, позбавленим батьківського піклування, чким виповняється 18 років</t>
  </si>
  <si>
    <t>придбання системного блоку та холодильника</t>
  </si>
  <si>
    <t>придбання спортивних майданчиків в с.Лісоберезівка, Ялинівка, мікрорайон Залетичівка</t>
  </si>
  <si>
    <t xml:space="preserve">придбання дитячих гойдалок в смт.Летичів, </t>
  </si>
  <si>
    <t>придбання швейного обладнання в Голенищівську ЗОШ 1-3 ст.</t>
  </si>
  <si>
    <t>Програма розвитку місцевого самоврядування  на території Летичівської селищної об'єднаної територіальної громади на 2018 - 2020 роки</t>
  </si>
  <si>
    <t>ПРОГРАМА соціальної підтримки, трудової і медичної реабілітації та інтеграції Летичівського районного товариства інвалідів Всеукраїнської організації інвалідів «Союз організацій інвалідів України</t>
  </si>
  <si>
    <t>Субвенція з державного бюджету місцевим бюджетам на здійснення заходів щодо соціально - економічного розвитку окремих територій</t>
  </si>
  <si>
    <t>0117130</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</si>
  <si>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</si>
  <si>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виготовлення проектно - кошторисної документації  та проведення експертизи на будівництво каналізаційного колектора по вул.Савіцького Юрія в смт.Летичів</t>
  </si>
  <si>
    <t>проведення коригування та експертизи  проектно - кошторисної документації  на капітальний ремонт вул.Войтова смт.Летичів</t>
  </si>
  <si>
    <t>проведення коригування та експертизи  проектно - кошторисної документації  на капітальний ремонт вул.Молодіжної с.Сулівці Летичівського району</t>
  </si>
  <si>
    <t>проведення коригування та експертизи  проектно - кошторисної документації  на капітальний ремонт вул.Центральної с.Суслівці Летичівського району</t>
  </si>
  <si>
    <t>проведення коригування та експертизи  проектно - кошторисної документації  на капітальний ремонт вул.Шевченка смт.Летичів</t>
  </si>
  <si>
    <t>проведення коригування та експертизи  проектно - кошторисної документації  на капітальний ремонт вул.Мазура Василя смтЛетичів</t>
  </si>
  <si>
    <t>будівництво лінії електропередач для вуличного освітлення в с.Марківці Летичівського району</t>
  </si>
  <si>
    <t>встановлення огорожі біля багатоквартирного будинку по вул.Савіцького Юрія смт.Летичів</t>
  </si>
  <si>
    <t>проведення експертизи по реконструкції корпусів № 2 і № 3  Летичівського НВК № 1  "ЗОШ 1-3 ст. - ліцей"</t>
  </si>
  <si>
    <t>виготовлення проектно - кошторисної документації на будівництво ліній електропередач вуличного освітлення сіл Михунки, Івоненці, Гречинці, Антонівка, Кудинка, Голенищево</t>
  </si>
  <si>
    <t>виготовлення проектно - кошторисної документації на проведення експертизи на проведення  капітального ремонту Летичівського ДНЗ "Калинонька"</t>
  </si>
  <si>
    <t>придбання мотокоси в дитячо - юнацьку спортивну школу</t>
  </si>
  <si>
    <t>придбання розміточної машини в дитячо - юнацьку спортивну школу</t>
  </si>
  <si>
    <t>придбання комп'ютера в Летичівський НВК № 2 "ЗОШ 1-3 ст. - гімназії"</t>
  </si>
  <si>
    <t>придбання комплексу відеоспостереження в Летичівський НВК № 2 "ЗОШ 1-3 ст. - гімназії"</t>
  </si>
  <si>
    <t>Програма забезпечення національної безпеки на території Летичівської селищної об’єднаної територіальної громади Хмельницької області на 2017-2018 роки</t>
  </si>
  <si>
    <t xml:space="preserve">ПРОГРАМА забезпечення заходів щодо проведення призову громадян України  на строкову військову службу, призову на військову службу за контрактом  та по підготовці до мобілізації військовозобов’язаних  на території Летичівської селищної ради на 2018-2019 роки, та проведення ремонтних робіт Летичівського районного військового комісаріату
</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</si>
  <si>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</si>
  <si>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Проведення  навчально - тренувалних зборів і змагань  з олімпійських видів спорту</t>
  </si>
  <si>
    <t>Відділ культури, національностей та релігій  Летичівської селищної ради</t>
  </si>
  <si>
    <t>базова</t>
  </si>
  <si>
    <t>додаткова</t>
  </si>
  <si>
    <t>медична</t>
  </si>
  <si>
    <t>Додаток 1</t>
  </si>
  <si>
    <t>(грн.)</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</si>
  <si>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</si>
  <si>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</si>
  <si>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</si>
  <si>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</si>
  <si>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</si>
  <si>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</si>
  <si>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</si>
  <si>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</si>
  <si>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</si>
  <si>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</si>
  <si>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</si>
  <si>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</si>
  <si>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</si>
  <si>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</si>
  <si>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</si>
  <si>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</si>
  <si>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</si>
  <si>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</si>
  <si>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</si>
  <si>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</si>
  <si>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</si>
  <si>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</si>
  <si>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</si>
  <si>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</si>
  <si>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</si>
  <si>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</si>
  <si>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Туристичний збір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</si>
  <si>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</si>
  <si>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</si>
  <si>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</si>
  <si>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</si>
  <si>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</si>
  <si>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</si>
  <si>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</si>
  <si>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Забезпечення діяльності водопровідно - каналізаційного господарства</t>
  </si>
  <si>
    <t>Дотації з місцевого бюджету</t>
  </si>
  <si>
    <t>Виготовлення проектно - кошторисної документації на реконструкцію водопостачання по вул. Свободи, Ламана, Соборна, Лютнева, Шевченка в смт.Летичів</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</si>
  <si>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</si>
  <si>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</si>
  <si>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</si>
  <si>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</si>
  <si>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</si>
  <si>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</si>
  <si>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</si>
  <si>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</si>
  <si>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</si>
  <si>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</si>
  <si>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</si>
  <si>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</si>
  <si>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</si>
  <si>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</si>
  <si>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</si>
  <si>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</si>
  <si>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</si>
  <si>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</si>
  <si>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</si>
  <si>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</si>
  <si>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</si>
  <si>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</si>
  <si>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</si>
  <si>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</si>
  <si>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</si>
  <si>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</si>
  <si>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0118130</t>
  </si>
  <si>
    <t>8130</t>
  </si>
  <si>
    <t>Забезпечення діяльності місцевої пожежної охорони</t>
  </si>
  <si>
    <t>0112111</t>
  </si>
  <si>
    <t>2111</t>
  </si>
  <si>
    <t>Первинна медична допомога  населенню, що  надається центрами первинної  медичної (медико - санітарної) допомоги</t>
  </si>
  <si>
    <t>0763</t>
  </si>
  <si>
    <t>0113121</t>
  </si>
  <si>
    <t>3121</t>
  </si>
  <si>
    <t>Утримання та забезпечення  діяльності  центрів соціальних служб для сім"ї, дітей та молоді</t>
  </si>
  <si>
    <t>0116030</t>
  </si>
  <si>
    <t>6030</t>
  </si>
  <si>
    <t>Організація благоустрою населених пунктів</t>
  </si>
  <si>
    <t>0118120</t>
  </si>
  <si>
    <t>8120</t>
  </si>
  <si>
    <t>Заходи з організації рятування на водах</t>
  </si>
  <si>
    <t>0118700</t>
  </si>
  <si>
    <t>8700</t>
  </si>
  <si>
    <t>0117350</t>
  </si>
  <si>
    <t>7350</t>
  </si>
  <si>
    <t>0118110</t>
  </si>
  <si>
    <t>8110</t>
  </si>
  <si>
    <t>0118312</t>
  </si>
  <si>
    <t>8312</t>
  </si>
  <si>
    <t>0119770</t>
  </si>
  <si>
    <t>9770</t>
  </si>
  <si>
    <t>Інші субвенції з місцевого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</si>
  <si>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</si>
  <si>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0119410</t>
  </si>
  <si>
    <t>9410</t>
  </si>
  <si>
    <t>Надання дошкільної  освіти</t>
  </si>
  <si>
    <t>Забезпечення діяльності бібліотек</t>
  </si>
  <si>
    <t>Забезпечення діяльності палаців і будинків культури, клубів, центрів дозвілля  та  інших   клубних закладів</t>
  </si>
</sst>
</file>

<file path=xl/styles.xml><?xml version="1.0" encoding="utf-8"?>
<styleSheet xmlns="http://schemas.openxmlformats.org/spreadsheetml/2006/main">
  <numFmts count="6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76">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sz val="9"/>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b/>
      <sz val="10"/>
      <name val="Times New Roman Cyr"/>
      <family val="1"/>
    </font>
    <font>
      <b/>
      <sz val="11"/>
      <name val="Times New Roman"/>
      <family val="1"/>
    </font>
    <font>
      <b/>
      <sz val="16"/>
      <name val="Times New Roman"/>
      <family val="1"/>
    </font>
    <font>
      <sz val="11"/>
      <name val="Times New Roman"/>
      <family val="1"/>
    </font>
    <font>
      <sz val="10"/>
      <name val="Times New Roman CYR"/>
      <family val="0"/>
    </font>
    <font>
      <b/>
      <sz val="12"/>
      <name val="Arial Cyr"/>
      <family val="0"/>
    </font>
    <font>
      <b/>
      <sz val="18"/>
      <name val="Times New Roman Cyr"/>
      <family val="1"/>
    </font>
    <font>
      <b/>
      <sz val="14"/>
      <name val="Times New Roman Cyr"/>
      <family val="1"/>
    </font>
    <font>
      <b/>
      <sz val="11"/>
      <name val="Times New Roman Cyr"/>
      <family val="1"/>
    </font>
    <font>
      <b/>
      <sz val="13"/>
      <name val="Times New Roman"/>
      <family val="1"/>
    </font>
    <font>
      <b/>
      <sz val="10"/>
      <name val="Times New Roman CYR"/>
      <family val="0"/>
    </font>
    <font>
      <sz val="11"/>
      <color indexed="8"/>
      <name val="Times New Roman"/>
      <family val="1"/>
    </font>
    <font>
      <sz val="9"/>
      <color indexed="8"/>
      <name val="Times New Roman"/>
      <family val="1"/>
    </font>
    <font>
      <sz val="14"/>
      <name val="Times New Roman"/>
      <family val="1"/>
    </font>
    <font>
      <sz val="8"/>
      <name val="Times New Roman CYR"/>
      <family val="0"/>
    </font>
    <font>
      <b/>
      <sz val="9"/>
      <name val="Times New Roman"/>
      <family val="0"/>
    </font>
    <font>
      <sz val="9"/>
      <name val="Times New Roman CYR"/>
      <family val="0"/>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sz val="10"/>
      <color indexed="8"/>
      <name val="ARIAL"/>
      <family val="0"/>
    </font>
    <font>
      <i/>
      <sz val="11"/>
      <name val="Times New Roman"/>
      <family val="1"/>
    </font>
    <font>
      <i/>
      <sz val="11"/>
      <color indexed="8"/>
      <name val="Times New Roman"/>
      <family val="1"/>
    </font>
    <font>
      <b/>
      <sz val="16"/>
      <name val="Times New Roman Cyr"/>
      <family val="0"/>
    </font>
    <font>
      <b/>
      <sz val="12"/>
      <name val="Times New Roman Cyr"/>
      <family val="0"/>
    </font>
    <font>
      <b/>
      <sz val="12"/>
      <name val="Times New Roman CYR"/>
      <family val="0"/>
    </font>
    <font>
      <i/>
      <sz val="10"/>
      <name val="Times New Roman Cyr"/>
      <family val="0"/>
    </font>
    <font>
      <vertAlign val="superscript"/>
      <sz val="8"/>
      <name val="Times New Roman"/>
      <family val="1"/>
    </font>
    <font>
      <vertAlign val="superscript"/>
      <sz val="10"/>
      <name val="Times New Roman"/>
      <family val="1"/>
    </font>
    <font>
      <b/>
      <vertAlign val="superscript"/>
      <sz val="10"/>
      <name val="Times New Roman"/>
      <family val="1"/>
    </font>
    <font>
      <strike/>
      <vertAlign val="superscript"/>
      <sz val="8"/>
      <name val="Times New Roman"/>
      <family val="1"/>
    </font>
    <font>
      <b/>
      <vertAlign val="superscript"/>
      <sz val="14"/>
      <name val="Times New Roman"/>
      <family val="1"/>
    </font>
    <font>
      <b/>
      <sz val="14"/>
      <name val="Arial Cyr"/>
      <family val="0"/>
    </font>
    <font>
      <b/>
      <sz val="9"/>
      <color indexed="8"/>
      <name val="Times New Roman"/>
      <family val="1"/>
    </font>
    <font>
      <b/>
      <sz val="10"/>
      <color indexed="36"/>
      <name val="Times New Roman"/>
      <family val="1"/>
    </font>
    <font>
      <b/>
      <sz val="10"/>
      <color indexed="62"/>
      <name val="Times New Roman"/>
      <family val="1"/>
    </font>
    <font>
      <sz val="10"/>
      <color indexed="36"/>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top style="thin"/>
      <bottom style="thin"/>
    </border>
    <border>
      <left style="thin"/>
      <right style="thin"/>
      <top style="thin"/>
      <bottom/>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25" fillId="0" borderId="0">
      <alignment/>
      <protection/>
    </xf>
    <xf numFmtId="0" fontId="26" fillId="0" borderId="0">
      <alignmen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1" fillId="13" borderId="1" applyNumberFormat="0" applyAlignment="0" applyProtection="0"/>
    <xf numFmtId="0" fontId="11" fillId="7" borderId="1" applyNumberFormat="0" applyAlignment="0" applyProtection="0"/>
    <xf numFmtId="0" fontId="12" fillId="24" borderId="2" applyNumberFormat="0" applyAlignment="0" applyProtection="0"/>
    <xf numFmtId="0" fontId="19" fillId="24" borderId="1" applyNumberFormat="0" applyAlignment="0" applyProtection="0"/>
    <xf numFmtId="0" fontId="27"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9" fillId="6"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53" fillId="0" borderId="0">
      <alignment vertical="top"/>
      <protection/>
    </xf>
    <xf numFmtId="0" fontId="13" fillId="0" borderId="6" applyNumberFormat="0" applyFill="0" applyAlignment="0" applyProtection="0"/>
    <xf numFmtId="0" fontId="16" fillId="0" borderId="7" applyNumberFormat="0" applyFill="0" applyAlignment="0" applyProtection="0"/>
    <xf numFmtId="0" fontId="14" fillId="25" borderId="8" applyNumberFormat="0" applyAlignment="0" applyProtection="0"/>
    <xf numFmtId="0" fontId="14" fillId="25" borderId="8"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1" fillId="13" borderId="0" applyNumberFormat="0" applyBorder="0" applyAlignment="0" applyProtection="0"/>
    <xf numFmtId="0" fontId="74" fillId="26" borderId="1" applyNumberFormat="0" applyAlignment="0" applyProtection="0"/>
    <xf numFmtId="0" fontId="25" fillId="0" borderId="0">
      <alignment/>
      <protection/>
    </xf>
    <xf numFmtId="0" fontId="29" fillId="0" borderId="0" applyNumberFormat="0" applyFill="0" applyBorder="0" applyAlignment="0" applyProtection="0"/>
    <xf numFmtId="0" fontId="16" fillId="0" borderId="9" applyNumberFormat="0" applyFill="0" applyAlignment="0" applyProtection="0"/>
    <xf numFmtId="0" fontId="10" fillId="3" borderId="0" applyNumberFormat="0" applyBorder="0" applyAlignment="0" applyProtection="0"/>
    <xf numFmtId="0" fontId="10" fillId="5" borderId="0" applyNumberFormat="0" applyBorder="0" applyAlignment="0" applyProtection="0"/>
    <xf numFmtId="0" fontId="15" fillId="0" borderId="0" applyNumberFormat="0" applyFill="0" applyBorder="0" applyAlignment="0" applyProtection="0"/>
    <xf numFmtId="0" fontId="18"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12" fillId="26" borderId="2" applyNumberFormat="0" applyAlignment="0" applyProtection="0"/>
    <xf numFmtId="0" fontId="22" fillId="0" borderId="11" applyNumberFormat="0" applyFill="0" applyAlignment="0" applyProtection="0"/>
    <xf numFmtId="0" fontId="75" fillId="13" borderId="0" applyNumberFormat="0" applyBorder="0" applyAlignment="0" applyProtection="0"/>
    <xf numFmtId="0" fontId="24" fillId="0" borderId="0">
      <alignment/>
      <protection/>
    </xf>
    <xf numFmtId="0" fontId="13"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9" fillId="4" borderId="0" applyNumberFormat="0" applyBorder="0" applyAlignment="0" applyProtection="0"/>
  </cellStyleXfs>
  <cellXfs count="24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8"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8" fillId="0" borderId="0" xfId="0" applyNumberFormat="1" applyFont="1" applyFill="1" applyAlignment="1" applyProtection="1">
      <alignment horizontal="center"/>
      <protection/>
    </xf>
    <xf numFmtId="0" fontId="0" fillId="0" borderId="0" xfId="0" applyFont="1" applyFill="1" applyAlignment="1">
      <alignment horizontal="center"/>
    </xf>
    <xf numFmtId="0" fontId="8" fillId="0" borderId="12" xfId="0" applyNumberFormat="1" applyFont="1" applyFill="1" applyBorder="1" applyAlignment="1" applyProtection="1">
      <alignment horizontal="center" vertical="top"/>
      <protection/>
    </xf>
    <xf numFmtId="0" fontId="33" fillId="0" borderId="13" xfId="52" applyFont="1" applyBorder="1" applyAlignment="1">
      <alignment horizontal="right"/>
      <protection/>
    </xf>
    <xf numFmtId="0" fontId="33" fillId="0" borderId="13" xfId="52" applyFont="1" applyBorder="1" applyAlignment="1">
      <alignment horizontal="right" wrapText="1"/>
      <protection/>
    </xf>
    <xf numFmtId="0" fontId="30" fillId="0" borderId="0" xfId="0" applyFont="1" applyAlignment="1">
      <alignment/>
    </xf>
    <xf numFmtId="0" fontId="32" fillId="0" borderId="0" xfId="0" applyFont="1" applyAlignment="1">
      <alignment horizontal="center" vertical="center" wrapText="1"/>
    </xf>
    <xf numFmtId="0" fontId="5" fillId="0" borderId="13" xfId="0" applyFont="1" applyBorder="1" applyAlignment="1">
      <alignment horizontal="right"/>
    </xf>
    <xf numFmtId="0" fontId="0" fillId="0" borderId="0" xfId="0" applyFont="1" applyAlignment="1">
      <alignment/>
    </xf>
    <xf numFmtId="0" fontId="0" fillId="0" borderId="13" xfId="0" applyFont="1" applyBorder="1" applyAlignment="1">
      <alignment/>
    </xf>
    <xf numFmtId="0" fontId="30" fillId="0" borderId="0" xfId="0" applyFont="1" applyBorder="1" applyAlignment="1">
      <alignment horizontal="right"/>
    </xf>
    <xf numFmtId="0" fontId="0" fillId="26" borderId="0" xfId="0" applyFont="1" applyFill="1" applyAlignment="1">
      <alignment/>
    </xf>
    <xf numFmtId="0" fontId="38" fillId="0" borderId="0" xfId="0" applyFont="1" applyBorder="1" applyAlignment="1">
      <alignment horizontal="center" vertical="center" wrapText="1"/>
    </xf>
    <xf numFmtId="0" fontId="39" fillId="0" borderId="0" xfId="0" applyFont="1" applyBorder="1" applyAlignment="1">
      <alignment horizontal="right" vertical="center" wrapText="1"/>
    </xf>
    <xf numFmtId="0" fontId="40" fillId="0" borderId="13" xfId="0" applyFont="1" applyBorder="1" applyAlignment="1">
      <alignment horizontal="right"/>
    </xf>
    <xf numFmtId="0" fontId="42" fillId="0" borderId="13" xfId="0" applyFont="1" applyBorder="1" applyAlignment="1">
      <alignment horizontal="right"/>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30" fillId="0" borderId="0" xfId="0" applyNumberFormat="1" applyFont="1" applyBorder="1" applyAlignment="1">
      <alignment horizontal="right"/>
    </xf>
    <xf numFmtId="2" fontId="0" fillId="0" borderId="0" xfId="0" applyNumberFormat="1" applyFont="1" applyBorder="1" applyAlignment="1">
      <alignment/>
    </xf>
    <xf numFmtId="0" fontId="37" fillId="0" borderId="14" xfId="0" applyFont="1" applyBorder="1" applyAlignment="1">
      <alignment horizontal="center"/>
    </xf>
    <xf numFmtId="0" fontId="36" fillId="0" borderId="0" xfId="0" applyNumberFormat="1" applyFont="1" applyFill="1" applyAlignment="1" applyProtection="1">
      <alignment/>
      <protection/>
    </xf>
    <xf numFmtId="0" fontId="36" fillId="0" borderId="0" xfId="0" applyFont="1" applyFill="1" applyAlignment="1">
      <alignment/>
    </xf>
    <xf numFmtId="0" fontId="36" fillId="0" borderId="0" xfId="0" applyFont="1" applyFill="1" applyAlignment="1">
      <alignment horizontal="center"/>
    </xf>
    <xf numFmtId="0" fontId="4" fillId="0" borderId="0" xfId="0" applyFont="1" applyFill="1" applyAlignment="1">
      <alignment horizontal="right"/>
    </xf>
    <xf numFmtId="0" fontId="36" fillId="0" borderId="15" xfId="0" applyNumberFormat="1" applyFont="1" applyFill="1" applyBorder="1" applyAlignment="1" applyProtection="1">
      <alignment/>
      <protection/>
    </xf>
    <xf numFmtId="0" fontId="36" fillId="0" borderId="16" xfId="0" applyNumberFormat="1" applyFont="1" applyFill="1" applyBorder="1" applyAlignment="1" applyProtection="1">
      <alignment/>
      <protection/>
    </xf>
    <xf numFmtId="0" fontId="6" fillId="0" borderId="0" xfId="0" applyNumberFormat="1" applyFont="1" applyFill="1" applyAlignment="1" applyProtection="1">
      <alignment/>
      <protection/>
    </xf>
    <xf numFmtId="0" fontId="48" fillId="0" borderId="0" xfId="0" applyFont="1" applyFill="1" applyAlignment="1">
      <alignment/>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6" fillId="0" borderId="0" xfId="0" applyNumberFormat="1" applyFont="1" applyFill="1" applyAlignment="1" applyProtection="1">
      <alignment/>
      <protection/>
    </xf>
    <xf numFmtId="0" fontId="6" fillId="0" borderId="0" xfId="0" applyFont="1" applyFill="1" applyAlignment="1">
      <alignment/>
    </xf>
    <xf numFmtId="0" fontId="0" fillId="0" borderId="0" xfId="0" applyFont="1" applyFill="1" applyAlignment="1" applyProtection="1">
      <alignment/>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6" fillId="0" borderId="0" xfId="0" applyNumberFormat="1" applyFont="1" applyFill="1" applyAlignment="1" applyProtection="1">
      <alignment vertical="top"/>
      <protection/>
    </xf>
    <xf numFmtId="0" fontId="6" fillId="0" borderId="0" xfId="0" applyFont="1" applyFill="1" applyAlignment="1">
      <alignment vertical="top"/>
    </xf>
    <xf numFmtId="0" fontId="0"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Alignment="1">
      <alignment/>
    </xf>
    <xf numFmtId="0" fontId="31" fillId="0" borderId="0" xfId="0" applyFont="1" applyAlignment="1">
      <alignment/>
    </xf>
    <xf numFmtId="0" fontId="35" fillId="0" borderId="0" xfId="0" applyNumberFormat="1" applyFont="1" applyFill="1" applyAlignment="1" applyProtection="1">
      <alignment/>
      <protection/>
    </xf>
    <xf numFmtId="0" fontId="35" fillId="0" borderId="0" xfId="0" applyFont="1" applyFill="1" applyAlignment="1">
      <alignment/>
    </xf>
    <xf numFmtId="0" fontId="33" fillId="0" borderId="17" xfId="52" applyFont="1" applyBorder="1" applyAlignment="1">
      <alignment horizontal="center"/>
      <protection/>
    </xf>
    <xf numFmtId="0" fontId="41" fillId="0" borderId="13" xfId="0" applyFont="1" applyBorder="1" applyAlignment="1">
      <alignment vertical="center" wrapText="1"/>
    </xf>
    <xf numFmtId="49" fontId="8" fillId="26" borderId="13" xfId="0" applyNumberFormat="1" applyFont="1" applyFill="1" applyBorder="1" applyAlignment="1">
      <alignment horizontal="right" wrapText="1"/>
    </xf>
    <xf numFmtId="49" fontId="8" fillId="26" borderId="13" xfId="0" applyNumberFormat="1" applyFont="1" applyFill="1" applyBorder="1" applyAlignment="1">
      <alignment wrapText="1"/>
    </xf>
    <xf numFmtId="0" fontId="0" fillId="26" borderId="0" xfId="0" applyFont="1" applyFill="1" applyBorder="1" applyAlignment="1">
      <alignment/>
    </xf>
    <xf numFmtId="0" fontId="5" fillId="0" borderId="13"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top"/>
      <protection/>
    </xf>
    <xf numFmtId="0" fontId="54" fillId="0" borderId="13" xfId="0" applyNumberFormat="1" applyFont="1" applyFill="1" applyBorder="1" applyAlignment="1" applyProtection="1">
      <alignment horizontal="left" vertical="top"/>
      <protection/>
    </xf>
    <xf numFmtId="0" fontId="54" fillId="0" borderId="13" xfId="0" applyNumberFormat="1" applyFont="1" applyFill="1" applyBorder="1" applyAlignment="1" applyProtection="1">
      <alignment vertical="top" wrapText="1"/>
      <protection/>
    </xf>
    <xf numFmtId="0" fontId="35" fillId="0" borderId="13" xfId="0" applyNumberFormat="1" applyFont="1" applyFill="1" applyBorder="1" applyAlignment="1" applyProtection="1">
      <alignment horizontal="left" vertical="top"/>
      <protection/>
    </xf>
    <xf numFmtId="0" fontId="35" fillId="0" borderId="13"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protection/>
    </xf>
    <xf numFmtId="0" fontId="33" fillId="0" borderId="13" xfId="0" applyNumberFormat="1" applyFont="1" applyFill="1" applyBorder="1" applyAlignment="1" applyProtection="1">
      <alignment vertical="top" wrapText="1"/>
      <protection/>
    </xf>
    <xf numFmtId="200" fontId="33" fillId="0" borderId="13" xfId="0" applyNumberFormat="1" applyFont="1" applyFill="1" applyBorder="1" applyAlignment="1" applyProtection="1">
      <alignment horizontal="right" vertical="top"/>
      <protection/>
    </xf>
    <xf numFmtId="200" fontId="50" fillId="0" borderId="13" xfId="0" applyNumberFormat="1" applyFont="1" applyBorder="1" applyAlignment="1">
      <alignment vertical="top" wrapText="1"/>
    </xf>
    <xf numFmtId="0" fontId="35" fillId="0" borderId="13" xfId="0" applyNumberFormat="1" applyFont="1" applyFill="1" applyBorder="1" applyAlignment="1" applyProtection="1">
      <alignment vertical="top"/>
      <protection/>
    </xf>
    <xf numFmtId="200" fontId="54" fillId="0" borderId="13" xfId="0" applyNumberFormat="1" applyFont="1" applyFill="1" applyBorder="1" applyAlignment="1" applyProtection="1">
      <alignment horizontal="right" vertical="top"/>
      <protection/>
    </xf>
    <xf numFmtId="200" fontId="55" fillId="0" borderId="13" xfId="0" applyNumberFormat="1" applyFont="1" applyBorder="1" applyAlignment="1">
      <alignment vertical="top" wrapText="1"/>
    </xf>
    <xf numFmtId="200" fontId="35" fillId="0" borderId="13" xfId="0" applyNumberFormat="1" applyFont="1" applyFill="1" applyBorder="1" applyAlignment="1" applyProtection="1">
      <alignment horizontal="right" vertical="top"/>
      <protection/>
    </xf>
    <xf numFmtId="200" fontId="43" fillId="0" borderId="13" xfId="0" applyNumberFormat="1" applyFont="1" applyBorder="1" applyAlignment="1">
      <alignment vertical="top" wrapText="1"/>
    </xf>
    <xf numFmtId="200" fontId="35" fillId="0" borderId="13"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right" vertical="center"/>
      <protection/>
    </xf>
    <xf numFmtId="0" fontId="33" fillId="0" borderId="13" xfId="0" applyFont="1" applyBorder="1" applyAlignment="1">
      <alignment horizontal="center" vertical="center" wrapText="1"/>
    </xf>
    <xf numFmtId="0" fontId="33" fillId="0" borderId="13" xfId="0" applyFont="1" applyBorder="1" applyAlignment="1">
      <alignment horizontal="justify" vertical="center" wrapText="1"/>
    </xf>
    <xf numFmtId="200" fontId="51" fillId="0" borderId="13" xfId="96" applyNumberFormat="1" applyFont="1" applyBorder="1" applyAlignment="1">
      <alignment vertical="center"/>
      <protection/>
    </xf>
    <xf numFmtId="200" fontId="51" fillId="0" borderId="13" xfId="96" applyNumberFormat="1" applyFont="1" applyBorder="1">
      <alignment vertical="top"/>
      <protection/>
    </xf>
    <xf numFmtId="0" fontId="35" fillId="0" borderId="13" xfId="0" applyFont="1" applyBorder="1" applyAlignment="1">
      <alignment horizontal="center" vertical="center" wrapText="1"/>
    </xf>
    <xf numFmtId="0" fontId="35" fillId="0" borderId="13" xfId="0" applyFont="1" applyBorder="1" applyAlignment="1">
      <alignment vertical="center" wrapText="1"/>
    </xf>
    <xf numFmtId="200" fontId="52" fillId="0" borderId="13" xfId="96" applyNumberFormat="1" applyFont="1" applyBorder="1">
      <alignment vertical="top"/>
      <protection/>
    </xf>
    <xf numFmtId="200" fontId="6" fillId="0" borderId="13" xfId="0" applyNumberFormat="1" applyFont="1" applyFill="1" applyBorder="1" applyAlignment="1" applyProtection="1">
      <alignment vertical="top"/>
      <protection/>
    </xf>
    <xf numFmtId="200" fontId="44" fillId="0" borderId="13" xfId="0" applyNumberFormat="1" applyFont="1" applyBorder="1" applyAlignment="1">
      <alignment vertical="justify"/>
    </xf>
    <xf numFmtId="0" fontId="0" fillId="0" borderId="0" xfId="0" applyNumberFormat="1" applyFont="1" applyFill="1" applyAlignment="1" applyProtection="1">
      <alignment/>
      <protection/>
    </xf>
    <xf numFmtId="0" fontId="8"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5"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57" fillId="0" borderId="13" xfId="0" applyFont="1" applyBorder="1" applyAlignment="1">
      <alignment horizontal="right"/>
    </xf>
    <xf numFmtId="0" fontId="23" fillId="0" borderId="13" xfId="52" applyFont="1" applyBorder="1" applyAlignment="1">
      <alignment horizontal="right"/>
      <protection/>
    </xf>
    <xf numFmtId="0" fontId="23" fillId="0" borderId="17" xfId="52" applyFont="1" applyBorder="1" applyAlignment="1">
      <alignment horizontal="center"/>
      <protection/>
    </xf>
    <xf numFmtId="0" fontId="31" fillId="0" borderId="0" xfId="0" applyFont="1" applyAlignment="1">
      <alignment/>
    </xf>
    <xf numFmtId="0" fontId="45" fillId="0" borderId="13" xfId="0" applyFont="1" applyBorder="1" applyAlignment="1">
      <alignment wrapText="1"/>
    </xf>
    <xf numFmtId="0" fontId="8" fillId="0" borderId="13" xfId="0" applyFont="1" applyBorder="1" applyAlignment="1">
      <alignment vertical="center" wrapText="1"/>
    </xf>
    <xf numFmtId="0" fontId="8" fillId="0" borderId="0" xfId="0" applyNumberFormat="1" applyFont="1" applyFill="1" applyAlignment="1" applyProtection="1">
      <alignment horizontal="center" vertical="center" wrapText="1"/>
      <protection/>
    </xf>
    <xf numFmtId="200" fontId="51" fillId="0" borderId="13" xfId="0" applyNumberFormat="1" applyFont="1" applyBorder="1" applyAlignment="1">
      <alignment vertical="center"/>
    </xf>
    <xf numFmtId="200" fontId="47" fillId="0" borderId="13" xfId="0" applyNumberFormat="1" applyFont="1" applyFill="1" applyBorder="1" applyAlignment="1" applyProtection="1">
      <alignment vertical="center"/>
      <protection/>
    </xf>
    <xf numFmtId="200" fontId="51" fillId="0" borderId="13" xfId="0" applyNumberFormat="1" applyFont="1" applyBorder="1" applyAlignment="1">
      <alignment vertical="justify"/>
    </xf>
    <xf numFmtId="200" fontId="5" fillId="0" borderId="13" xfId="0" applyNumberFormat="1" applyFont="1" applyFill="1" applyBorder="1" applyAlignment="1" applyProtection="1">
      <alignment vertical="top"/>
      <protection/>
    </xf>
    <xf numFmtId="0" fontId="36" fillId="0" borderId="0" xfId="0" applyNumberFormat="1" applyFont="1" applyFill="1" applyBorder="1" applyAlignment="1" applyProtection="1">
      <alignment/>
      <protection/>
    </xf>
    <xf numFmtId="0" fontId="59" fillId="0" borderId="18"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xf>
    <xf numFmtId="0" fontId="8" fillId="0" borderId="0" xfId="0" applyNumberFormat="1" applyFont="1" applyFill="1" applyBorder="1" applyAlignment="1" applyProtection="1">
      <alignment horizontal="center" vertical="top"/>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vertical="center" wrapText="1"/>
      <protection/>
    </xf>
    <xf numFmtId="0" fontId="33" fillId="0" borderId="1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26" borderId="0" xfId="0" applyNumberFormat="1" applyFont="1" applyFill="1" applyAlignment="1" applyProtection="1">
      <alignment/>
      <protection/>
    </xf>
    <xf numFmtId="0" fontId="0" fillId="26" borderId="0" xfId="0" applyFont="1" applyFill="1" applyAlignment="1">
      <alignment/>
    </xf>
    <xf numFmtId="0" fontId="0" fillId="26" borderId="15" xfId="0" applyNumberFormat="1" applyFont="1" applyFill="1" applyBorder="1" applyAlignment="1" applyProtection="1">
      <alignment/>
      <protection/>
    </xf>
    <xf numFmtId="0" fontId="0" fillId="26" borderId="13" xfId="0" applyNumberFormat="1" applyFont="1" applyFill="1" applyBorder="1" applyAlignment="1" applyProtection="1">
      <alignment horizontal="center" vertical="center" wrapText="1"/>
      <protection/>
    </xf>
    <xf numFmtId="0" fontId="0" fillId="26" borderId="16" xfId="0" applyNumberFormat="1" applyFont="1" applyFill="1" applyBorder="1" applyAlignment="1" applyProtection="1">
      <alignment/>
      <protection/>
    </xf>
    <xf numFmtId="0" fontId="0" fillId="26" borderId="20" xfId="0" applyNumberFormat="1" applyFont="1" applyFill="1" applyBorder="1" applyAlignment="1" applyProtection="1">
      <alignment/>
      <protection/>
    </xf>
    <xf numFmtId="0" fontId="0" fillId="26" borderId="0" xfId="0" applyNumberFormat="1" applyFont="1" applyFill="1" applyBorder="1" applyAlignment="1" applyProtection="1">
      <alignment/>
      <protection/>
    </xf>
    <xf numFmtId="0" fontId="0" fillId="26" borderId="0" xfId="0" applyNumberFormat="1" applyFont="1" applyFill="1" applyAlignment="1" applyProtection="1">
      <alignment vertical="center"/>
      <protection/>
    </xf>
    <xf numFmtId="49" fontId="33" fillId="26" borderId="13" xfId="0" applyNumberFormat="1" applyFont="1" applyFill="1" applyBorder="1" applyAlignment="1">
      <alignment horizontal="center" vertical="center" wrapText="1"/>
    </xf>
    <xf numFmtId="0" fontId="33" fillId="26" borderId="13" xfId="0" applyFont="1" applyFill="1" applyBorder="1" applyAlignment="1">
      <alignment horizontal="justify" vertical="center" wrapText="1"/>
    </xf>
    <xf numFmtId="200" fontId="51" fillId="26" borderId="13" xfId="96" applyNumberFormat="1" applyFont="1" applyFill="1" applyBorder="1" applyAlignment="1">
      <alignment vertical="center"/>
      <protection/>
    </xf>
    <xf numFmtId="0" fontId="0" fillId="26" borderId="0" xfId="0" applyFont="1" applyFill="1" applyAlignment="1">
      <alignment vertical="center"/>
    </xf>
    <xf numFmtId="200" fontId="51" fillId="26" borderId="13" xfId="96" applyNumberFormat="1" applyFont="1" applyFill="1" applyBorder="1">
      <alignment vertical="top"/>
      <protection/>
    </xf>
    <xf numFmtId="49" fontId="35" fillId="26" borderId="13" xfId="0" applyNumberFormat="1" applyFont="1" applyFill="1" applyBorder="1" applyAlignment="1">
      <alignment horizontal="center" vertical="center" wrapText="1"/>
    </xf>
    <xf numFmtId="0" fontId="35" fillId="26" borderId="13" xfId="0" applyFont="1" applyFill="1" applyBorder="1" applyAlignment="1">
      <alignment vertical="center" wrapText="1"/>
    </xf>
    <xf numFmtId="0" fontId="33" fillId="26" borderId="13" xfId="0" applyFont="1" applyFill="1" applyBorder="1" applyAlignment="1">
      <alignment horizontal="center" vertical="center" wrapText="1"/>
    </xf>
    <xf numFmtId="200" fontId="52" fillId="26" borderId="13" xfId="96" applyNumberFormat="1" applyFont="1" applyFill="1" applyBorder="1">
      <alignment vertical="top"/>
      <protection/>
    </xf>
    <xf numFmtId="0" fontId="35" fillId="26" borderId="13" xfId="0" applyFont="1" applyFill="1" applyBorder="1" applyAlignment="1">
      <alignment horizontal="center" vertical="center" wrapText="1"/>
    </xf>
    <xf numFmtId="0" fontId="33" fillId="26" borderId="13" xfId="0" applyFont="1" applyFill="1" applyBorder="1" applyAlignment="1">
      <alignment vertical="center" wrapText="1"/>
    </xf>
    <xf numFmtId="0" fontId="0" fillId="26" borderId="0" xfId="0" applyNumberFormat="1" applyFont="1" applyFill="1" applyAlignment="1" applyProtection="1">
      <alignment/>
      <protection/>
    </xf>
    <xf numFmtId="0" fontId="45" fillId="0" borderId="0" xfId="0" applyFont="1" applyAlignment="1">
      <alignment/>
    </xf>
    <xf numFmtId="0" fontId="45" fillId="0" borderId="0" xfId="0" applyFont="1" applyAlignment="1">
      <alignment horizontal="right"/>
    </xf>
    <xf numFmtId="0" fontId="45" fillId="0" borderId="13" xfId="0" applyFont="1" applyBorder="1" applyAlignment="1">
      <alignment horizontal="center" vertical="center" wrapText="1"/>
    </xf>
    <xf numFmtId="0" fontId="45" fillId="27" borderId="13" xfId="0" applyFont="1" applyFill="1" applyBorder="1" applyAlignment="1">
      <alignment horizontal="center" vertical="center" wrapText="1"/>
    </xf>
    <xf numFmtId="0" fontId="65" fillId="0" borderId="13" xfId="0" applyFont="1" applyBorder="1" applyAlignment="1">
      <alignment vertical="center"/>
    </xf>
    <xf numFmtId="0" fontId="65" fillId="0" borderId="13" xfId="0" applyFont="1" applyBorder="1" applyAlignment="1">
      <alignment vertical="center" wrapText="1"/>
    </xf>
    <xf numFmtId="2" fontId="65" fillId="27" borderId="13" xfId="0" applyNumberFormat="1" applyFont="1" applyFill="1" applyBorder="1" applyAlignment="1">
      <alignment vertical="center"/>
    </xf>
    <xf numFmtId="2" fontId="65" fillId="0" borderId="13" xfId="0" applyNumberFormat="1" applyFont="1" applyBorder="1" applyAlignment="1">
      <alignment vertical="center"/>
    </xf>
    <xf numFmtId="0" fontId="45" fillId="0" borderId="13" xfId="0" applyFont="1" applyBorder="1" applyAlignment="1">
      <alignment vertical="center"/>
    </xf>
    <xf numFmtId="0" fontId="45" fillId="0" borderId="13" xfId="0" applyFont="1" applyBorder="1" applyAlignment="1">
      <alignment vertical="center" wrapText="1"/>
    </xf>
    <xf numFmtId="2" fontId="45" fillId="27" borderId="13" xfId="0" applyNumberFormat="1" applyFont="1" applyFill="1" applyBorder="1" applyAlignment="1">
      <alignment vertical="center"/>
    </xf>
    <xf numFmtId="2" fontId="45" fillId="0" borderId="13" xfId="0" applyNumberFormat="1" applyFont="1" applyBorder="1" applyAlignment="1">
      <alignment vertical="center"/>
    </xf>
    <xf numFmtId="0" fontId="65" fillId="27" borderId="13" xfId="0" applyFont="1" applyFill="1" applyBorder="1" applyAlignment="1">
      <alignment vertical="center"/>
    </xf>
    <xf numFmtId="0" fontId="65" fillId="27" borderId="13" xfId="0" applyFont="1" applyFill="1" applyBorder="1" applyAlignment="1">
      <alignment vertical="center" wrapText="1"/>
    </xf>
    <xf numFmtId="2" fontId="8" fillId="27" borderId="13" xfId="0" applyNumberFormat="1" applyFont="1" applyFill="1" applyBorder="1" applyAlignment="1">
      <alignment vertical="center"/>
    </xf>
    <xf numFmtId="2" fontId="45" fillId="27" borderId="13" xfId="0" applyNumberFormat="1" applyFont="1" applyFill="1" applyBorder="1" applyAlignment="1">
      <alignment vertical="center"/>
    </xf>
    <xf numFmtId="0" fontId="7" fillId="26" borderId="13"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0" fontId="0" fillId="26" borderId="13" xfId="0" applyNumberFormat="1" applyFont="1" applyFill="1" applyBorder="1" applyAlignment="1" applyProtection="1">
      <alignment horizontal="center" vertical="center" wrapText="1"/>
      <protection/>
    </xf>
    <xf numFmtId="0" fontId="31" fillId="26" borderId="13" xfId="0" applyNumberFormat="1" applyFont="1" applyFill="1" applyBorder="1" applyAlignment="1" applyProtection="1">
      <alignment horizontal="center" vertical="center" wrapText="1"/>
      <protection/>
    </xf>
    <xf numFmtId="0" fontId="4" fillId="26" borderId="19" xfId="0" applyNumberFormat="1" applyFont="1" applyFill="1" applyBorder="1" applyAlignment="1" applyProtection="1">
      <alignment horizontal="center" vertical="center" wrapText="1"/>
      <protection/>
    </xf>
    <xf numFmtId="2" fontId="5" fillId="24" borderId="13" xfId="0" applyNumberFormat="1" applyFont="1" applyFill="1" applyBorder="1" applyAlignment="1">
      <alignment horizontal="center" vertical="center" wrapText="1"/>
    </xf>
    <xf numFmtId="1" fontId="0" fillId="4" borderId="0" xfId="0" applyNumberFormat="1" applyFont="1" applyFill="1" applyAlignment="1" applyProtection="1">
      <alignment/>
      <protection/>
    </xf>
    <xf numFmtId="2" fontId="0" fillId="4" borderId="0" xfId="0" applyNumberFormat="1" applyFont="1" applyFill="1" applyAlignment="1" applyProtection="1">
      <alignment/>
      <protection/>
    </xf>
    <xf numFmtId="0" fontId="0" fillId="4" borderId="0" xfId="0" applyNumberFormat="1" applyFont="1" applyFill="1" applyAlignment="1" applyProtection="1">
      <alignment/>
      <protection/>
    </xf>
    <xf numFmtId="2" fontId="0" fillId="4" borderId="13" xfId="0" applyNumberFormat="1" applyFont="1" applyFill="1" applyBorder="1" applyAlignment="1" applyProtection="1">
      <alignment/>
      <protection/>
    </xf>
    <xf numFmtId="200" fontId="0" fillId="0" borderId="0" xfId="0" applyNumberFormat="1" applyFont="1" applyFill="1" applyAlignment="1" applyProtection="1">
      <alignment/>
      <protection/>
    </xf>
    <xf numFmtId="200" fontId="66" fillId="26" borderId="13" xfId="0" applyNumberFormat="1" applyFont="1" applyFill="1" applyBorder="1" applyAlignment="1">
      <alignment vertical="justify"/>
    </xf>
    <xf numFmtId="0" fontId="5" fillId="0" borderId="13" xfId="0" applyFont="1" applyFill="1" applyBorder="1" applyAlignment="1">
      <alignment horizontal="center" vertical="center" wrapText="1"/>
    </xf>
    <xf numFmtId="3" fontId="67" fillId="0" borderId="13" xfId="0" applyNumberFormat="1"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3" fontId="69" fillId="0" borderId="13" xfId="0" applyNumberFormat="1" applyFont="1" applyFill="1" applyBorder="1" applyAlignment="1">
      <alignment horizontal="center" vertical="center" wrapText="1"/>
    </xf>
    <xf numFmtId="0" fontId="0" fillId="26" borderId="0" xfId="0" applyNumberFormat="1" applyFont="1" applyFill="1" applyBorder="1" applyAlignment="1" applyProtection="1">
      <alignment horizontal="left" vertical="center" wrapText="1"/>
      <protection/>
    </xf>
    <xf numFmtId="2" fontId="0" fillId="26" borderId="0" xfId="0" applyNumberFormat="1" applyFont="1" applyFill="1" applyBorder="1" applyAlignment="1" applyProtection="1">
      <alignment horizontal="left" vertical="center" wrapText="1"/>
      <protection/>
    </xf>
    <xf numFmtId="2" fontId="30" fillId="28" borderId="0" xfId="0" applyNumberFormat="1" applyFont="1" applyFill="1" applyBorder="1" applyAlignment="1">
      <alignment horizontal="right"/>
    </xf>
    <xf numFmtId="2" fontId="0" fillId="28" borderId="0" xfId="0" applyNumberFormat="1" applyFont="1" applyFill="1" applyBorder="1" applyAlignment="1">
      <alignment/>
    </xf>
    <xf numFmtId="0" fontId="0" fillId="28" borderId="0" xfId="0" applyFont="1" applyFill="1" applyAlignment="1">
      <alignment/>
    </xf>
    <xf numFmtId="2" fontId="0" fillId="28" borderId="0" xfId="0" applyNumberFormat="1" applyFont="1" applyFill="1" applyAlignment="1">
      <alignment/>
    </xf>
    <xf numFmtId="0" fontId="0" fillId="28" borderId="21" xfId="0" applyFill="1" applyBorder="1" applyAlignment="1">
      <alignment/>
    </xf>
    <xf numFmtId="0" fontId="0" fillId="28" borderId="22" xfId="0" applyFont="1" applyFill="1" applyBorder="1" applyAlignment="1">
      <alignment/>
    </xf>
    <xf numFmtId="49" fontId="0" fillId="28" borderId="23" xfId="0" applyNumberFormat="1" applyFont="1" applyFill="1" applyBorder="1" applyAlignment="1">
      <alignment/>
    </xf>
    <xf numFmtId="49" fontId="0" fillId="28" borderId="22" xfId="0" applyNumberFormat="1" applyFont="1" applyFill="1" applyBorder="1" applyAlignment="1">
      <alignment/>
    </xf>
    <xf numFmtId="4" fontId="51" fillId="26" borderId="13" xfId="96" applyNumberFormat="1" applyFont="1" applyFill="1" applyBorder="1">
      <alignment vertical="top"/>
      <protection/>
    </xf>
    <xf numFmtId="200" fontId="33" fillId="26" borderId="13" xfId="0" applyNumberFormat="1" applyFont="1" applyFill="1" applyBorder="1" applyAlignment="1">
      <alignment vertical="center" wrapText="1"/>
    </xf>
    <xf numFmtId="2" fontId="0" fillId="28" borderId="0"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pplyProtection="1">
      <alignment vertical="center" wrapText="1"/>
      <protection/>
    </xf>
    <xf numFmtId="0" fontId="35" fillId="0" borderId="0" xfId="0" applyFont="1" applyBorder="1" applyAlignment="1">
      <alignment vertical="center" wrapText="1"/>
    </xf>
    <xf numFmtId="0" fontId="8" fillId="0" borderId="0" xfId="0" applyFont="1" applyAlignment="1">
      <alignment horizontal="center"/>
    </xf>
    <xf numFmtId="200" fontId="52" fillId="0" borderId="13" xfId="96" applyNumberFormat="1" applyFont="1" applyBorder="1" applyAlignment="1">
      <alignment horizontal="right" vertical="top"/>
      <protection/>
    </xf>
    <xf numFmtId="200" fontId="44" fillId="0" borderId="24" xfId="0" applyNumberFormat="1" applyFont="1" applyBorder="1" applyAlignment="1">
      <alignment vertical="justify"/>
    </xf>
    <xf numFmtId="2" fontId="65" fillId="0" borderId="13" xfId="0" applyNumberFormat="1" applyFont="1" applyBorder="1" applyAlignment="1">
      <alignment vertical="center" wrapText="1"/>
    </xf>
    <xf numFmtId="200" fontId="52" fillId="0" borderId="24" xfId="96" applyNumberFormat="1" applyFont="1" applyBorder="1">
      <alignment vertical="top"/>
      <protection/>
    </xf>
    <xf numFmtId="200" fontId="51" fillId="26" borderId="13" xfId="96" applyNumberFormat="1" applyFont="1" applyFill="1" applyBorder="1">
      <alignment vertical="top"/>
      <protection/>
    </xf>
    <xf numFmtId="0" fontId="35" fillId="26" borderId="25" xfId="0" applyFont="1" applyFill="1" applyBorder="1" applyAlignment="1">
      <alignment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5" fillId="26" borderId="28" xfId="0" applyFont="1" applyFill="1" applyBorder="1" applyAlignment="1">
      <alignment vertical="center" wrapText="1"/>
    </xf>
    <xf numFmtId="0" fontId="35" fillId="26" borderId="29" xfId="0" applyFont="1" applyFill="1" applyBorder="1" applyAlignment="1">
      <alignment vertical="center" wrapText="1"/>
    </xf>
    <xf numFmtId="0" fontId="35" fillId="0" borderId="13" xfId="0" applyFont="1" applyBorder="1" applyAlignment="1">
      <alignment vertical="center" wrapText="1"/>
    </xf>
    <xf numFmtId="0" fontId="34" fillId="0" borderId="0" xfId="0" applyFont="1" applyAlignment="1">
      <alignment/>
    </xf>
    <xf numFmtId="0" fontId="0" fillId="26" borderId="13" xfId="0" applyFont="1" applyFill="1" applyBorder="1" applyAlignment="1">
      <alignment/>
    </xf>
    <xf numFmtId="2" fontId="8" fillId="0" borderId="13" xfId="0" applyNumberFormat="1" applyFont="1" applyBorder="1" applyAlignment="1">
      <alignment vertical="center"/>
    </xf>
    <xf numFmtId="0" fontId="33" fillId="0" borderId="25" xfId="0" applyFont="1" applyBorder="1" applyAlignment="1">
      <alignment horizontal="justify" vertical="center" wrapText="1"/>
    </xf>
    <xf numFmtId="0" fontId="8" fillId="0" borderId="13" xfId="0" applyFont="1" applyBorder="1" applyAlignment="1">
      <alignment horizontal="center"/>
    </xf>
    <xf numFmtId="0" fontId="31" fillId="0" borderId="0" xfId="0" applyNumberFormat="1" applyFont="1" applyFill="1" applyAlignment="1" applyProtection="1">
      <alignment horizontal="left" vertical="top"/>
      <protection/>
    </xf>
    <xf numFmtId="0" fontId="0" fillId="26" borderId="13" xfId="0" applyNumberFormat="1" applyFont="1" applyFill="1" applyBorder="1" applyAlignment="1" applyProtection="1">
      <alignment horizontal="center" vertical="center" wrapText="1"/>
      <protection/>
    </xf>
    <xf numFmtId="0" fontId="31" fillId="26" borderId="13"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0" fontId="49"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4" fillId="26" borderId="18" xfId="0" applyNumberFormat="1" applyFont="1" applyFill="1" applyBorder="1" applyAlignment="1" applyProtection="1">
      <alignment horizontal="center" vertical="center" wrapText="1"/>
      <protection/>
    </xf>
    <xf numFmtId="0" fontId="4" fillId="26" borderId="27" xfId="0" applyNumberFormat="1" applyFont="1" applyFill="1" applyBorder="1" applyAlignment="1" applyProtection="1">
      <alignment horizontal="center" vertical="center" wrapText="1"/>
      <protection/>
    </xf>
    <xf numFmtId="0" fontId="4" fillId="26" borderId="19"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65" fillId="0" borderId="0" xfId="0" applyFont="1" applyAlignment="1">
      <alignment horizontal="center"/>
    </xf>
    <xf numFmtId="0" fontId="45" fillId="0" borderId="0" xfId="0" applyFont="1" applyAlignment="1">
      <alignment horizontal="center"/>
    </xf>
    <xf numFmtId="0" fontId="45" fillId="0" borderId="13" xfId="0" applyFont="1" applyBorder="1" applyAlignment="1">
      <alignment horizontal="center" vertical="center" wrapText="1"/>
    </xf>
    <xf numFmtId="0" fontId="45" fillId="27" borderId="13" xfId="0" applyFont="1" applyFill="1" applyBorder="1" applyAlignment="1">
      <alignment horizontal="center" vertical="center" wrapText="1"/>
    </xf>
    <xf numFmtId="0" fontId="35" fillId="0" borderId="17" xfId="0" applyNumberFormat="1" applyFont="1" applyFill="1" applyBorder="1" applyAlignment="1" applyProtection="1">
      <alignment horizontal="left" vertical="top"/>
      <protection/>
    </xf>
    <xf numFmtId="0" fontId="0" fillId="0" borderId="24" xfId="0" applyBorder="1" applyAlignment="1">
      <alignment vertical="top"/>
    </xf>
    <xf numFmtId="0" fontId="4" fillId="0" borderId="0" xfId="0" applyNumberFormat="1" applyFont="1" applyFill="1" applyAlignment="1" applyProtection="1">
      <alignment horizontal="right" vertical="center"/>
      <protection/>
    </xf>
    <xf numFmtId="0" fontId="35" fillId="0" borderId="0" xfId="0" applyNumberFormat="1" applyFont="1" applyFill="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34" fillId="0" borderId="0" xfId="0" applyNumberFormat="1" applyFont="1" applyFill="1" applyAlignment="1" applyProtection="1">
      <alignment horizontal="center" vertical="center"/>
      <protection/>
    </xf>
    <xf numFmtId="0" fontId="0" fillId="26" borderId="13"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0" fillId="26" borderId="0" xfId="0" applyNumberFormat="1" applyFont="1" applyFill="1" applyBorder="1" applyAlignment="1" applyProtection="1">
      <alignment horizontal="left" vertical="center" wrapText="1"/>
      <protection/>
    </xf>
    <xf numFmtId="0" fontId="31" fillId="26" borderId="0"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center" vertical="center" wrapText="1"/>
      <protection/>
    </xf>
    <xf numFmtId="0" fontId="36" fillId="0" borderId="27" xfId="0" applyNumberFormat="1" applyFont="1" applyFill="1" applyBorder="1" applyAlignment="1" applyProtection="1">
      <alignment horizontal="center" vertical="center" wrapText="1"/>
      <protection/>
    </xf>
    <xf numFmtId="0" fontId="36" fillId="0" borderId="19" xfId="0" applyNumberFormat="1" applyFont="1" applyFill="1" applyBorder="1" applyAlignment="1" applyProtection="1">
      <alignment horizontal="center" vertical="center" wrapText="1"/>
      <protection/>
    </xf>
    <xf numFmtId="0" fontId="31" fillId="0" borderId="30" xfId="0" applyNumberFormat="1" applyFont="1" applyFill="1" applyBorder="1" applyAlignment="1" applyProtection="1">
      <alignment horizontal="center" vertical="center" wrapText="1"/>
      <protection/>
    </xf>
    <xf numFmtId="0" fontId="31" fillId="0" borderId="24"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23" fillId="26" borderId="15" xfId="0" applyFont="1" applyFill="1" applyBorder="1" applyAlignment="1">
      <alignment horizontal="left" vertical="center" wrapText="1"/>
    </xf>
    <xf numFmtId="0" fontId="23" fillId="26" borderId="31" xfId="0" applyFont="1" applyFill="1" applyBorder="1" applyAlignment="1">
      <alignment horizontal="left" vertical="center" wrapText="1"/>
    </xf>
    <xf numFmtId="0" fontId="23" fillId="26" borderId="13" xfId="0" applyFont="1" applyFill="1" applyBorder="1" applyAlignment="1">
      <alignment horizontal="left" vertical="center" wrapText="1"/>
    </xf>
    <xf numFmtId="0" fontId="23" fillId="26" borderId="13" xfId="0" applyFont="1" applyFill="1" applyBorder="1" applyAlignment="1">
      <alignment horizontal="center" vertical="center" wrapText="1"/>
    </xf>
    <xf numFmtId="0" fontId="58" fillId="0" borderId="18"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19" xfId="0" applyFont="1" applyBorder="1" applyAlignment="1">
      <alignment horizontal="center" vertical="center" wrapText="1"/>
    </xf>
    <xf numFmtId="0" fontId="56" fillId="0" borderId="0" xfId="0" applyFont="1" applyAlignment="1">
      <alignment horizontal="center" vertical="center" wrapText="1"/>
    </xf>
    <xf numFmtId="0" fontId="23" fillId="26" borderId="15" xfId="0" applyFont="1" applyFill="1" applyBorder="1" applyAlignment="1">
      <alignment horizontal="center" vertical="center" wrapText="1"/>
    </xf>
    <xf numFmtId="0" fontId="23" fillId="26" borderId="32" xfId="0" applyFont="1" applyFill="1" applyBorder="1" applyAlignment="1">
      <alignment horizontal="center" vertical="center" wrapText="1"/>
    </xf>
    <xf numFmtId="0" fontId="23" fillId="26" borderId="20" xfId="0" applyFont="1" applyFill="1" applyBorder="1" applyAlignment="1">
      <alignment horizontal="center" vertical="center" wrapText="1"/>
    </xf>
    <xf numFmtId="0" fontId="23" fillId="26" borderId="33" xfId="0" applyFont="1" applyFill="1" applyBorder="1" applyAlignment="1">
      <alignment horizontal="center" vertical="center" wrapText="1"/>
    </xf>
    <xf numFmtId="0" fontId="0" fillId="0" borderId="0"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S104"/>
  <sheetViews>
    <sheetView showGridLines="0" showZeros="0" tabSelected="1" view="pageBreakPreview" zoomScaleSheetLayoutView="100" zoomScalePageLayoutView="0" workbookViewId="0" topLeftCell="A1">
      <selection activeCell="E14" sqref="E14"/>
    </sheetView>
  </sheetViews>
  <sheetFormatPr defaultColWidth="9.16015625" defaultRowHeight="12.75"/>
  <cols>
    <col min="1" max="1" width="17.66015625" style="2" customWidth="1"/>
    <col min="2" max="2" width="48.5" style="2" customWidth="1"/>
    <col min="3" max="3" width="29.5" style="2" customWidth="1"/>
    <col min="4" max="4" width="23.16015625" style="2" customWidth="1"/>
    <col min="5" max="5" width="22.16015625" style="2" customWidth="1"/>
    <col min="6" max="6" width="22.83203125" style="2" customWidth="1"/>
    <col min="7" max="12" width="9.16015625" style="2" customWidth="1"/>
    <col min="13" max="244" width="9.16015625" style="49" customWidth="1"/>
    <col min="245" max="253" width="9.16015625" style="2" customWidth="1"/>
    <col min="254" max="16384" width="9.16015625" style="49" customWidth="1"/>
  </cols>
  <sheetData>
    <row r="1" spans="1:253" s="54" customFormat="1" ht="18.75">
      <c r="A1" s="133"/>
      <c r="B1" s="133"/>
      <c r="C1" s="133"/>
      <c r="D1" s="133" t="s">
        <v>396</v>
      </c>
      <c r="E1" s="133"/>
      <c r="F1" s="133"/>
      <c r="G1" s="53"/>
      <c r="H1" s="53"/>
      <c r="I1" s="53"/>
      <c r="J1" s="53"/>
      <c r="K1" s="53"/>
      <c r="L1" s="53"/>
      <c r="IK1" s="53"/>
      <c r="IL1" s="53"/>
      <c r="IM1" s="53"/>
      <c r="IN1" s="53"/>
      <c r="IO1" s="53"/>
      <c r="IP1" s="53"/>
      <c r="IQ1" s="53"/>
      <c r="IR1" s="53"/>
      <c r="IS1" s="53"/>
    </row>
    <row r="2" spans="1:6" ht="18.75">
      <c r="A2" s="133"/>
      <c r="B2" s="133"/>
      <c r="C2" s="133" t="s">
        <v>111</v>
      </c>
      <c r="D2" s="133"/>
      <c r="E2" s="133"/>
      <c r="F2" s="133"/>
    </row>
    <row r="3" spans="1:13" ht="16.5" customHeight="1">
      <c r="A3" s="133"/>
      <c r="B3" s="133"/>
      <c r="C3" s="133" t="s">
        <v>250</v>
      </c>
      <c r="D3" s="133"/>
      <c r="E3" s="133"/>
      <c r="F3" s="133"/>
      <c r="M3" s="2"/>
    </row>
    <row r="4" spans="1:6" ht="18.75">
      <c r="A4" s="133"/>
      <c r="B4" s="133"/>
      <c r="C4" s="133"/>
      <c r="D4" s="133"/>
      <c r="E4" s="133"/>
      <c r="F4" s="133"/>
    </row>
    <row r="5" spans="1:6" ht="18.75">
      <c r="A5" s="210" t="s">
        <v>13</v>
      </c>
      <c r="B5" s="211"/>
      <c r="C5" s="211"/>
      <c r="D5" s="211"/>
      <c r="E5" s="211"/>
      <c r="F5" s="211"/>
    </row>
    <row r="6" spans="1:6" ht="18.75">
      <c r="A6" s="133"/>
      <c r="B6" s="133"/>
      <c r="C6" s="133"/>
      <c r="D6" s="133"/>
      <c r="E6" s="133"/>
      <c r="F6" s="134" t="s">
        <v>397</v>
      </c>
    </row>
    <row r="7" spans="1:6" ht="18.75">
      <c r="A7" s="212" t="s">
        <v>66</v>
      </c>
      <c r="B7" s="212" t="s">
        <v>398</v>
      </c>
      <c r="C7" s="213" t="s">
        <v>90</v>
      </c>
      <c r="D7" s="212" t="s">
        <v>87</v>
      </c>
      <c r="E7" s="212" t="s">
        <v>88</v>
      </c>
      <c r="F7" s="212"/>
    </row>
    <row r="8" spans="1:6" ht="12.75">
      <c r="A8" s="212"/>
      <c r="B8" s="212"/>
      <c r="C8" s="212"/>
      <c r="D8" s="212"/>
      <c r="E8" s="212" t="s">
        <v>90</v>
      </c>
      <c r="F8" s="212" t="s">
        <v>103</v>
      </c>
    </row>
    <row r="9" spans="1:6" ht="21" customHeight="1">
      <c r="A9" s="212"/>
      <c r="B9" s="212"/>
      <c r="C9" s="212"/>
      <c r="D9" s="212"/>
      <c r="E9" s="212"/>
      <c r="F9" s="212"/>
    </row>
    <row r="10" spans="1:6" ht="18.75">
      <c r="A10" s="135">
        <v>1</v>
      </c>
      <c r="B10" s="135">
        <v>2</v>
      </c>
      <c r="C10" s="136">
        <v>3</v>
      </c>
      <c r="D10" s="135">
        <v>4</v>
      </c>
      <c r="E10" s="135">
        <v>5</v>
      </c>
      <c r="F10" s="135">
        <v>6</v>
      </c>
    </row>
    <row r="11" spans="1:6" ht="18" customHeight="1">
      <c r="A11" s="137">
        <v>10000000</v>
      </c>
      <c r="B11" s="138" t="s">
        <v>399</v>
      </c>
      <c r="C11" s="147">
        <f>C12+C19+C21+C24+C30+C48</f>
        <v>69658049.49</v>
      </c>
      <c r="D11" s="147">
        <f>D12+D19+D21+D24+D30+D48</f>
        <v>69602549.49</v>
      </c>
      <c r="E11" s="147">
        <f>E12+E19+E21+E24+E30+E48</f>
        <v>55500</v>
      </c>
      <c r="F11" s="147">
        <f>F12+F19+F21+F24+F30+F48</f>
        <v>0</v>
      </c>
    </row>
    <row r="12" spans="1:6" ht="72">
      <c r="A12" s="137">
        <v>11000000</v>
      </c>
      <c r="B12" s="138" t="s">
        <v>400</v>
      </c>
      <c r="C12" s="147">
        <f>C13+C19</f>
        <v>38539470.489999995</v>
      </c>
      <c r="D12" s="147">
        <f>D13+D19</f>
        <v>38539470.489999995</v>
      </c>
      <c r="E12" s="147">
        <f>E13+E19</f>
        <v>0</v>
      </c>
      <c r="F12" s="147">
        <f>F13+F19</f>
        <v>0</v>
      </c>
    </row>
    <row r="13" spans="1:6" ht="36">
      <c r="A13" s="137">
        <v>11010000</v>
      </c>
      <c r="B13" s="138" t="s">
        <v>401</v>
      </c>
      <c r="C13" s="147">
        <f>SUM(C14:C18)</f>
        <v>38532170.489999995</v>
      </c>
      <c r="D13" s="144">
        <f>SUM(D14:D18)</f>
        <v>38532170.489999995</v>
      </c>
      <c r="E13" s="140"/>
      <c r="F13" s="140"/>
    </row>
    <row r="14" spans="1:6" ht="93.75">
      <c r="A14" s="141">
        <v>11010100</v>
      </c>
      <c r="B14" s="142" t="s">
        <v>402</v>
      </c>
      <c r="C14" s="147">
        <f>24970730+155500+182000-23620-60000-67000-194050+20000+800000+747114+10000+5646.49+1371599-375000+140000+1171173+20000+598354+15265+70+26289</f>
        <v>29514070.49</v>
      </c>
      <c r="D14" s="144">
        <f>24970730+155500+182000-23620-60000-67000-194050+20000+800000+747114+10000+5646.49+1371599-375000+140000+1171173+20000+598354+15265+70+26289</f>
        <v>29514070.49</v>
      </c>
      <c r="E14" s="144"/>
      <c r="F14" s="144"/>
    </row>
    <row r="15" spans="1:6" ht="168.75">
      <c r="A15" s="141">
        <v>11010200</v>
      </c>
      <c r="B15" s="142" t="s">
        <v>403</v>
      </c>
      <c r="C15" s="139">
        <f>1150000+50000+80000+50000+48000</f>
        <v>1378000</v>
      </c>
      <c r="D15" s="144">
        <f>1150000+50000+80000+50000+48000</f>
        <v>1378000</v>
      </c>
      <c r="E15" s="144"/>
      <c r="F15" s="144"/>
    </row>
    <row r="16" spans="1:6" ht="93.75">
      <c r="A16" s="141">
        <v>11010400</v>
      </c>
      <c r="B16" s="142" t="s">
        <v>404</v>
      </c>
      <c r="C16" s="139">
        <f>5000000+736100+200000+440000+450000+330000-170000</f>
        <v>6986100</v>
      </c>
      <c r="D16" s="144">
        <f>5000000+736100+200000+440000+450000+330000-170000</f>
        <v>6986100</v>
      </c>
      <c r="E16" s="144"/>
      <c r="F16" s="144"/>
    </row>
    <row r="17" spans="1:6" ht="75">
      <c r="A17" s="141">
        <v>11010500</v>
      </c>
      <c r="B17" s="142" t="s">
        <v>405</v>
      </c>
      <c r="C17" s="139">
        <f>340000+59000+40000+70000+70000+40000</f>
        <v>619000</v>
      </c>
      <c r="D17" s="144">
        <f>340000+59000+40000+70000+70000+40000</f>
        <v>619000</v>
      </c>
      <c r="E17" s="144"/>
      <c r="F17" s="144"/>
    </row>
    <row r="18" spans="1:6" ht="131.25">
      <c r="A18" s="141">
        <v>11010900</v>
      </c>
      <c r="B18" s="142" t="s">
        <v>406</v>
      </c>
      <c r="C18" s="139">
        <v>35000</v>
      </c>
      <c r="D18" s="144">
        <v>35000</v>
      </c>
      <c r="E18" s="144"/>
      <c r="F18" s="144"/>
    </row>
    <row r="19" spans="1:6" ht="36">
      <c r="A19" s="137">
        <v>11020000</v>
      </c>
      <c r="B19" s="138" t="s">
        <v>407</v>
      </c>
      <c r="C19" s="139">
        <f>5000+2300</f>
        <v>7300</v>
      </c>
      <c r="D19" s="140">
        <f>5000+2300</f>
        <v>7300</v>
      </c>
      <c r="E19" s="140"/>
      <c r="F19" s="140"/>
    </row>
    <row r="20" spans="1:6" ht="56.25">
      <c r="A20" s="141">
        <v>11020200</v>
      </c>
      <c r="B20" s="142" t="s">
        <v>408</v>
      </c>
      <c r="C20" s="143">
        <f>5000+2300</f>
        <v>7300</v>
      </c>
      <c r="D20" s="144">
        <f>5000+2300</f>
        <v>7300</v>
      </c>
      <c r="E20" s="144"/>
      <c r="F20" s="144"/>
    </row>
    <row r="21" spans="1:6" ht="54">
      <c r="A21" s="137">
        <v>13000000</v>
      </c>
      <c r="B21" s="138" t="s">
        <v>409</v>
      </c>
      <c r="C21" s="139">
        <f aca="true" t="shared" si="0" ref="C21:D23">840000+221000-21</f>
        <v>1060979</v>
      </c>
      <c r="D21" s="140">
        <f t="shared" si="0"/>
        <v>1060979</v>
      </c>
      <c r="E21" s="140"/>
      <c r="F21" s="140"/>
    </row>
    <row r="22" spans="1:6" ht="54">
      <c r="A22" s="137">
        <v>13010000</v>
      </c>
      <c r="B22" s="138" t="s">
        <v>410</v>
      </c>
      <c r="C22" s="139">
        <f t="shared" si="0"/>
        <v>1060979</v>
      </c>
      <c r="D22" s="140">
        <f t="shared" si="0"/>
        <v>1060979</v>
      </c>
      <c r="E22" s="140"/>
      <c r="F22" s="140"/>
    </row>
    <row r="23" spans="1:6" ht="131.25">
      <c r="A23" s="141">
        <v>13010200</v>
      </c>
      <c r="B23" s="142" t="s">
        <v>411</v>
      </c>
      <c r="C23" s="143">
        <f t="shared" si="0"/>
        <v>1060979</v>
      </c>
      <c r="D23" s="144">
        <f t="shared" si="0"/>
        <v>1060979</v>
      </c>
      <c r="E23" s="144"/>
      <c r="F23" s="144"/>
    </row>
    <row r="24" spans="1:6" ht="36">
      <c r="A24" s="137">
        <v>14000000</v>
      </c>
      <c r="B24" s="138" t="s">
        <v>412</v>
      </c>
      <c r="C24" s="139">
        <f>8000000+150000+80000+100000+150000+460000+110000+40000+500000+40000+50000</f>
        <v>9680000</v>
      </c>
      <c r="D24" s="140">
        <f>8000000+150000+80000+100000+150000+460000+110000+40000+500000+40000+50000</f>
        <v>9680000</v>
      </c>
      <c r="E24" s="140"/>
      <c r="F24" s="140"/>
    </row>
    <row r="25" spans="1:6" ht="75">
      <c r="A25" s="141">
        <v>14040000</v>
      </c>
      <c r="B25" s="142" t="s">
        <v>413</v>
      </c>
      <c r="C25" s="143">
        <f>700000+100000+20000+40000+40000+50000</f>
        <v>950000</v>
      </c>
      <c r="D25" s="144">
        <f>700000+100000+20000+40000+40000+50000</f>
        <v>950000</v>
      </c>
      <c r="E25" s="144"/>
      <c r="F25" s="144"/>
    </row>
    <row r="26" spans="1:6" ht="56.25">
      <c r="A26" s="141">
        <v>14020000</v>
      </c>
      <c r="B26" s="142" t="s">
        <v>61</v>
      </c>
      <c r="C26" s="143">
        <f>1600000+80000+30000+110000</f>
        <v>1820000</v>
      </c>
      <c r="D26" s="144">
        <f>1600000+80000+30000+110000</f>
        <v>1820000</v>
      </c>
      <c r="E26" s="144"/>
      <c r="F26" s="144"/>
    </row>
    <row r="27" spans="1:6" ht="18.75">
      <c r="A27" s="141">
        <v>14021900</v>
      </c>
      <c r="B27" s="142" t="s">
        <v>195</v>
      </c>
      <c r="C27" s="143">
        <f>1600000+80000+30000+110000</f>
        <v>1820000</v>
      </c>
      <c r="D27" s="144">
        <f>1600000+80000+30000+110000</f>
        <v>1820000</v>
      </c>
      <c r="E27" s="144"/>
      <c r="F27" s="144"/>
    </row>
    <row r="28" spans="1:6" ht="56.25">
      <c r="A28" s="141">
        <v>14030000</v>
      </c>
      <c r="B28" s="142" t="s">
        <v>62</v>
      </c>
      <c r="C28" s="143">
        <f>5700000+150000+100000+460000+500000</f>
        <v>6910000</v>
      </c>
      <c r="D28" s="144">
        <f>5700000+150000+100000+460000+500000</f>
        <v>6910000</v>
      </c>
      <c r="E28" s="144"/>
      <c r="F28" s="144"/>
    </row>
    <row r="29" spans="1:6" ht="18.75">
      <c r="A29" s="141">
        <v>14031900</v>
      </c>
      <c r="B29" s="142" t="s">
        <v>195</v>
      </c>
      <c r="C29" s="143">
        <f>5700000+150000+100000+460000+500000</f>
        <v>6910000</v>
      </c>
      <c r="D29" s="144">
        <f>5700000+150000+100000+460000+500000</f>
        <v>6910000</v>
      </c>
      <c r="E29" s="144"/>
      <c r="F29" s="144"/>
    </row>
    <row r="30" spans="1:6" ht="18.75">
      <c r="A30" s="137">
        <v>18000000</v>
      </c>
      <c r="B30" s="138" t="s">
        <v>124</v>
      </c>
      <c r="C30" s="147">
        <f>C31+C41+C44</f>
        <v>20314800</v>
      </c>
      <c r="D30" s="140">
        <f>D31+D41+D44</f>
        <v>20314800</v>
      </c>
      <c r="E30" s="140"/>
      <c r="F30" s="140"/>
    </row>
    <row r="31" spans="1:6" ht="18.75">
      <c r="A31" s="137">
        <v>18010000</v>
      </c>
      <c r="B31" s="138" t="s">
        <v>414</v>
      </c>
      <c r="C31" s="147">
        <f>SUM(C32:C40)</f>
        <v>12073100</v>
      </c>
      <c r="D31" s="140">
        <f>SUM(D32:D40)</f>
        <v>12073100</v>
      </c>
      <c r="E31" s="140"/>
      <c r="F31" s="140"/>
    </row>
    <row r="32" spans="1:6" ht="93.75">
      <c r="A32" s="141">
        <v>18010100</v>
      </c>
      <c r="B32" s="142" t="s">
        <v>415</v>
      </c>
      <c r="C32" s="143">
        <v>6700</v>
      </c>
      <c r="D32" s="144">
        <v>6700</v>
      </c>
      <c r="E32" s="144"/>
      <c r="F32" s="144"/>
    </row>
    <row r="33" spans="1:6" ht="93.75">
      <c r="A33" s="141">
        <v>18010200</v>
      </c>
      <c r="B33" s="142" t="s">
        <v>416</v>
      </c>
      <c r="C33" s="143">
        <f>29000+94800</f>
        <v>123800</v>
      </c>
      <c r="D33" s="144">
        <f>29000+94800</f>
        <v>123800</v>
      </c>
      <c r="E33" s="144"/>
      <c r="F33" s="144"/>
    </row>
    <row r="34" spans="1:6" ht="93.75">
      <c r="A34" s="141">
        <v>18010300</v>
      </c>
      <c r="B34" s="142" t="s">
        <v>417</v>
      </c>
      <c r="C34" s="143">
        <v>22700</v>
      </c>
      <c r="D34" s="144">
        <v>22700</v>
      </c>
      <c r="E34" s="144"/>
      <c r="F34" s="144"/>
    </row>
    <row r="35" spans="1:6" ht="93.75">
      <c r="A35" s="141">
        <v>18010400</v>
      </c>
      <c r="B35" s="142" t="s">
        <v>418</v>
      </c>
      <c r="C35" s="143">
        <f>637900+140000</f>
        <v>777900</v>
      </c>
      <c r="D35" s="144">
        <f>637900+140000</f>
        <v>777900</v>
      </c>
      <c r="E35" s="144"/>
      <c r="F35" s="144"/>
    </row>
    <row r="36" spans="1:6" ht="37.5">
      <c r="A36" s="141">
        <v>18010500</v>
      </c>
      <c r="B36" s="142" t="s">
        <v>419</v>
      </c>
      <c r="C36" s="143">
        <f>192000+35000</f>
        <v>227000</v>
      </c>
      <c r="D36" s="144">
        <f>192000+35000</f>
        <v>227000</v>
      </c>
      <c r="E36" s="144"/>
      <c r="F36" s="144"/>
    </row>
    <row r="37" spans="1:6" ht="37.5">
      <c r="A37" s="141">
        <v>18010600</v>
      </c>
      <c r="B37" s="142" t="s">
        <v>420</v>
      </c>
      <c r="C37" s="143">
        <f>6400000+260000+300000+450000+300000+280000</f>
        <v>7990000</v>
      </c>
      <c r="D37" s="144">
        <f>6400000+260000+300000+450000+300000+280000</f>
        <v>7990000</v>
      </c>
      <c r="E37" s="144"/>
      <c r="F37" s="144"/>
    </row>
    <row r="38" spans="1:6" ht="37.5">
      <c r="A38" s="141">
        <v>18010700</v>
      </c>
      <c r="B38" s="142" t="s">
        <v>421</v>
      </c>
      <c r="C38" s="143">
        <v>315000</v>
      </c>
      <c r="D38" s="144">
        <v>315000</v>
      </c>
      <c r="E38" s="144"/>
      <c r="F38" s="144"/>
    </row>
    <row r="39" spans="1:6" ht="18.75">
      <c r="A39" s="141">
        <v>18010900</v>
      </c>
      <c r="B39" s="142" t="s">
        <v>422</v>
      </c>
      <c r="C39" s="143">
        <f>1860000+110000+590000</f>
        <v>2560000</v>
      </c>
      <c r="D39" s="144">
        <f>1860000+110000+590000</f>
        <v>2560000</v>
      </c>
      <c r="E39" s="144"/>
      <c r="F39" s="144"/>
    </row>
    <row r="40" spans="1:6" ht="37.5">
      <c r="A40" s="141">
        <v>18011000</v>
      </c>
      <c r="B40" s="142" t="s">
        <v>423</v>
      </c>
      <c r="C40" s="143">
        <v>50000</v>
      </c>
      <c r="D40" s="144">
        <v>50000</v>
      </c>
      <c r="E40" s="144"/>
      <c r="F40" s="144"/>
    </row>
    <row r="41" spans="1:6" ht="18.75">
      <c r="A41" s="137">
        <v>18030000</v>
      </c>
      <c r="B41" s="138" t="s">
        <v>424</v>
      </c>
      <c r="C41" s="147">
        <f>SUM(C42:C43)</f>
        <v>1700</v>
      </c>
      <c r="D41" s="140">
        <f>SUM(D42:D43)</f>
        <v>1700</v>
      </c>
      <c r="E41" s="140"/>
      <c r="F41" s="140"/>
    </row>
    <row r="42" spans="1:6" ht="37.5">
      <c r="A42" s="141">
        <v>18030100</v>
      </c>
      <c r="B42" s="142" t="s">
        <v>37</v>
      </c>
      <c r="C42" s="148">
        <v>650</v>
      </c>
      <c r="D42" s="144">
        <v>650</v>
      </c>
      <c r="E42" s="140"/>
      <c r="F42" s="140"/>
    </row>
    <row r="43" spans="1:6" ht="37.5">
      <c r="A43" s="141">
        <v>18030200</v>
      </c>
      <c r="B43" s="142" t="s">
        <v>425</v>
      </c>
      <c r="C43" s="143">
        <v>1050</v>
      </c>
      <c r="D43" s="144">
        <v>1050</v>
      </c>
      <c r="E43" s="144"/>
      <c r="F43" s="144"/>
    </row>
    <row r="44" spans="1:6" ht="18.75">
      <c r="A44" s="137">
        <v>18050000</v>
      </c>
      <c r="B44" s="138" t="s">
        <v>426</v>
      </c>
      <c r="C44" s="147">
        <f>SUM(C45:C47)</f>
        <v>8240000</v>
      </c>
      <c r="D44" s="140">
        <f>SUM(D45:D47)</f>
        <v>8240000</v>
      </c>
      <c r="E44" s="140"/>
      <c r="F44" s="140"/>
    </row>
    <row r="45" spans="1:6" ht="37.5">
      <c r="A45" s="141">
        <v>18050300</v>
      </c>
      <c r="B45" s="142" t="s">
        <v>427</v>
      </c>
      <c r="C45" s="143">
        <v>270000</v>
      </c>
      <c r="D45" s="144">
        <v>270000</v>
      </c>
      <c r="E45" s="144"/>
      <c r="F45" s="144"/>
    </row>
    <row r="46" spans="1:6" ht="18.75">
      <c r="A46" s="141">
        <v>18050400</v>
      </c>
      <c r="B46" s="142" t="s">
        <v>428</v>
      </c>
      <c r="C46" s="143">
        <f>3490000+180000+120000+80000</f>
        <v>3870000</v>
      </c>
      <c r="D46" s="144">
        <f>3490000+180000+120000+80000</f>
        <v>3870000</v>
      </c>
      <c r="E46" s="144"/>
      <c r="F46" s="144"/>
    </row>
    <row r="47" spans="1:6" ht="150">
      <c r="A47" s="141">
        <v>18050500</v>
      </c>
      <c r="B47" s="142" t="s">
        <v>429</v>
      </c>
      <c r="C47" s="143">
        <v>4100000</v>
      </c>
      <c r="D47" s="144">
        <v>4100000</v>
      </c>
      <c r="E47" s="144"/>
      <c r="F47" s="144"/>
    </row>
    <row r="48" spans="1:6" ht="18.75">
      <c r="A48" s="137">
        <v>19000000</v>
      </c>
      <c r="B48" s="138" t="s">
        <v>430</v>
      </c>
      <c r="C48" s="143">
        <f aca="true" t="shared" si="1" ref="C48:C53">D48+E48</f>
        <v>55500</v>
      </c>
      <c r="D48" s="140"/>
      <c r="E48" s="140">
        <v>55500</v>
      </c>
      <c r="F48" s="140"/>
    </row>
    <row r="49" spans="1:6" ht="18.75">
      <c r="A49" s="137">
        <v>19010000</v>
      </c>
      <c r="B49" s="138" t="s">
        <v>431</v>
      </c>
      <c r="C49" s="143">
        <f t="shared" si="1"/>
        <v>55500</v>
      </c>
      <c r="D49" s="140"/>
      <c r="E49" s="140">
        <v>55500</v>
      </c>
      <c r="F49" s="140"/>
    </row>
    <row r="50" spans="1:6" ht="93.75">
      <c r="A50" s="141">
        <v>19010100</v>
      </c>
      <c r="B50" s="142" t="s">
        <v>435</v>
      </c>
      <c r="C50" s="143">
        <f t="shared" si="1"/>
        <v>19800</v>
      </c>
      <c r="D50" s="144"/>
      <c r="E50" s="144">
        <v>19800</v>
      </c>
      <c r="F50" s="144"/>
    </row>
    <row r="51" spans="1:6" ht="56.25">
      <c r="A51" s="141">
        <v>19010200</v>
      </c>
      <c r="B51" s="142" t="s">
        <v>436</v>
      </c>
      <c r="C51" s="143">
        <f t="shared" si="1"/>
        <v>6200</v>
      </c>
      <c r="D51" s="144"/>
      <c r="E51" s="144">
        <v>6200</v>
      </c>
      <c r="F51" s="144"/>
    </row>
    <row r="52" spans="1:6" ht="93.75">
      <c r="A52" s="141">
        <v>19010300</v>
      </c>
      <c r="B52" s="142" t="s">
        <v>437</v>
      </c>
      <c r="C52" s="143">
        <f t="shared" si="1"/>
        <v>29500</v>
      </c>
      <c r="D52" s="144"/>
      <c r="E52" s="144">
        <v>29500</v>
      </c>
      <c r="F52" s="144"/>
    </row>
    <row r="53" spans="1:6" ht="18">
      <c r="A53" s="137">
        <v>20000000</v>
      </c>
      <c r="B53" s="138" t="s">
        <v>438</v>
      </c>
      <c r="C53" s="139">
        <f t="shared" si="1"/>
        <v>2897960</v>
      </c>
      <c r="D53" s="140">
        <f>770350+37500+60000+110000+31000+36600</f>
        <v>1045450</v>
      </c>
      <c r="E53" s="140">
        <v>1852510</v>
      </c>
      <c r="F53" s="140"/>
    </row>
    <row r="54" spans="1:6" ht="54">
      <c r="A54" s="137">
        <v>21000000</v>
      </c>
      <c r="B54" s="138" t="s">
        <v>439</v>
      </c>
      <c r="C54" s="139">
        <f>10350+110000</f>
        <v>120350</v>
      </c>
      <c r="D54" s="140">
        <f>10350+110000</f>
        <v>120350</v>
      </c>
      <c r="E54" s="140"/>
      <c r="F54" s="140"/>
    </row>
    <row r="55" spans="1:6" ht="198">
      <c r="A55" s="137">
        <v>21010000</v>
      </c>
      <c r="B55" s="138" t="s">
        <v>440</v>
      </c>
      <c r="C55" s="139">
        <v>1350</v>
      </c>
      <c r="D55" s="140">
        <v>1350</v>
      </c>
      <c r="E55" s="140"/>
      <c r="F55" s="140"/>
    </row>
    <row r="56" spans="1:6" ht="93.75">
      <c r="A56" s="141">
        <v>21010300</v>
      </c>
      <c r="B56" s="142" t="s">
        <v>31</v>
      </c>
      <c r="C56" s="143">
        <v>1350</v>
      </c>
      <c r="D56" s="144">
        <v>1350</v>
      </c>
      <c r="E56" s="144"/>
      <c r="F56" s="144"/>
    </row>
    <row r="57" spans="1:6" ht="56.25">
      <c r="A57" s="141">
        <v>21050000</v>
      </c>
      <c r="B57" s="142" t="s">
        <v>301</v>
      </c>
      <c r="C57" s="143">
        <v>110000</v>
      </c>
      <c r="D57" s="144">
        <v>110000</v>
      </c>
      <c r="E57" s="144"/>
      <c r="F57" s="144"/>
    </row>
    <row r="58" spans="1:6" ht="18">
      <c r="A58" s="137">
        <v>21080000</v>
      </c>
      <c r="B58" s="138" t="s">
        <v>441</v>
      </c>
      <c r="C58" s="139">
        <v>40000</v>
      </c>
      <c r="D58" s="140">
        <v>40000</v>
      </c>
      <c r="E58" s="140"/>
      <c r="F58" s="140"/>
    </row>
    <row r="59" spans="1:6" ht="37.5">
      <c r="A59" s="141">
        <v>21081100</v>
      </c>
      <c r="B59" s="142" t="s">
        <v>442</v>
      </c>
      <c r="C59" s="143">
        <v>9000</v>
      </c>
      <c r="D59" s="144">
        <v>9000</v>
      </c>
      <c r="E59" s="144"/>
      <c r="F59" s="144"/>
    </row>
    <row r="60" spans="1:6" ht="18.75">
      <c r="A60" s="141">
        <v>21081500</v>
      </c>
      <c r="B60" s="142" t="s">
        <v>441</v>
      </c>
      <c r="C60" s="143">
        <v>31000</v>
      </c>
      <c r="D60" s="144">
        <v>31000</v>
      </c>
      <c r="E60" s="144"/>
      <c r="F60" s="144"/>
    </row>
    <row r="61" spans="1:6" ht="72">
      <c r="A61" s="137">
        <v>22000000</v>
      </c>
      <c r="B61" s="138" t="s">
        <v>443</v>
      </c>
      <c r="C61" s="139">
        <f>760000+37500</f>
        <v>797500</v>
      </c>
      <c r="D61" s="140">
        <f>760000+37500</f>
        <v>797500</v>
      </c>
      <c r="E61" s="140"/>
      <c r="F61" s="140"/>
    </row>
    <row r="62" spans="1:6" ht="36">
      <c r="A62" s="137">
        <v>22010000</v>
      </c>
      <c r="B62" s="138" t="s">
        <v>444</v>
      </c>
      <c r="C62" s="139">
        <f>700000+37500</f>
        <v>737500</v>
      </c>
      <c r="D62" s="140">
        <f>700000+37500</f>
        <v>737500</v>
      </c>
      <c r="E62" s="140"/>
      <c r="F62" s="140"/>
    </row>
    <row r="63" spans="1:6" ht="37.5">
      <c r="A63" s="141">
        <v>22012500</v>
      </c>
      <c r="B63" s="142" t="s">
        <v>445</v>
      </c>
      <c r="C63" s="143">
        <f>600000+37500</f>
        <v>637500</v>
      </c>
      <c r="D63" s="144">
        <f>600000+37500</f>
        <v>637500</v>
      </c>
      <c r="E63" s="144"/>
      <c r="F63" s="144"/>
    </row>
    <row r="64" spans="1:6" ht="75">
      <c r="A64" s="141">
        <v>22012600</v>
      </c>
      <c r="B64" s="142" t="s">
        <v>23</v>
      </c>
      <c r="C64" s="143">
        <v>100000</v>
      </c>
      <c r="D64" s="144">
        <v>100000</v>
      </c>
      <c r="E64" s="144"/>
      <c r="F64" s="144"/>
    </row>
    <row r="65" spans="1:6" ht="18">
      <c r="A65" s="137">
        <v>22090000</v>
      </c>
      <c r="B65" s="138" t="s">
        <v>446</v>
      </c>
      <c r="C65" s="139">
        <v>60000</v>
      </c>
      <c r="D65" s="140">
        <v>60000</v>
      </c>
      <c r="E65" s="140"/>
      <c r="F65" s="140"/>
    </row>
    <row r="66" spans="1:6" ht="93.75">
      <c r="A66" s="141">
        <v>22090100</v>
      </c>
      <c r="B66" s="142" t="s">
        <v>447</v>
      </c>
      <c r="C66" s="143">
        <v>51000</v>
      </c>
      <c r="D66" s="144">
        <v>51000</v>
      </c>
      <c r="E66" s="144"/>
      <c r="F66" s="144"/>
    </row>
    <row r="67" spans="1:6" ht="93.75">
      <c r="A67" s="141">
        <v>22090400</v>
      </c>
      <c r="B67" s="142" t="s">
        <v>448</v>
      </c>
      <c r="C67" s="143">
        <v>9000</v>
      </c>
      <c r="D67" s="144">
        <v>9000</v>
      </c>
      <c r="E67" s="144"/>
      <c r="F67" s="144"/>
    </row>
    <row r="68" spans="1:6" ht="18.75">
      <c r="A68" s="137">
        <v>24060000</v>
      </c>
      <c r="B68" s="138" t="s">
        <v>441</v>
      </c>
      <c r="C68" s="147">
        <f>60000+36600</f>
        <v>96600</v>
      </c>
      <c r="D68" s="197">
        <f>60000+36600</f>
        <v>96600</v>
      </c>
      <c r="E68" s="144"/>
      <c r="F68" s="144"/>
    </row>
    <row r="69" spans="1:6" ht="18.75">
      <c r="A69" s="141">
        <v>24060300</v>
      </c>
      <c r="B69" s="142" t="s">
        <v>441</v>
      </c>
      <c r="C69" s="143">
        <f>60000+36600</f>
        <v>96600</v>
      </c>
      <c r="D69" s="144">
        <f>60000+36600</f>
        <v>96600</v>
      </c>
      <c r="E69" s="144"/>
      <c r="F69" s="144"/>
    </row>
    <row r="70" spans="1:6" ht="36">
      <c r="A70" s="137">
        <v>25000000</v>
      </c>
      <c r="B70" s="138" t="s">
        <v>449</v>
      </c>
      <c r="C70" s="139">
        <v>1852510</v>
      </c>
      <c r="D70" s="140"/>
      <c r="E70" s="140">
        <v>1852510</v>
      </c>
      <c r="F70" s="140"/>
    </row>
    <row r="71" spans="1:6" ht="72">
      <c r="A71" s="137">
        <v>25010000</v>
      </c>
      <c r="B71" s="138" t="s">
        <v>450</v>
      </c>
      <c r="C71" s="139">
        <v>1852510</v>
      </c>
      <c r="D71" s="140"/>
      <c r="E71" s="140">
        <v>1852510</v>
      </c>
      <c r="F71" s="140"/>
    </row>
    <row r="72" spans="1:6" ht="56.25">
      <c r="A72" s="141">
        <v>25010100</v>
      </c>
      <c r="B72" s="142" t="s">
        <v>451</v>
      </c>
      <c r="C72" s="139">
        <v>1820010</v>
      </c>
      <c r="D72" s="144"/>
      <c r="E72" s="144">
        <v>1820010</v>
      </c>
      <c r="F72" s="144"/>
    </row>
    <row r="73" spans="1:6" ht="56.25">
      <c r="A73" s="141">
        <v>25010200</v>
      </c>
      <c r="B73" s="142" t="s">
        <v>452</v>
      </c>
      <c r="C73" s="139"/>
      <c r="D73" s="144"/>
      <c r="E73" s="144"/>
      <c r="F73" s="144"/>
    </row>
    <row r="74" spans="1:6" ht="37.5">
      <c r="A74" s="141">
        <v>25010300</v>
      </c>
      <c r="B74" s="142" t="s">
        <v>453</v>
      </c>
      <c r="C74" s="139">
        <v>27500</v>
      </c>
      <c r="D74" s="144"/>
      <c r="E74" s="144">
        <v>27500</v>
      </c>
      <c r="F74" s="144"/>
    </row>
    <row r="75" spans="1:6" ht="75">
      <c r="A75" s="141">
        <v>25010400</v>
      </c>
      <c r="B75" s="142" t="s">
        <v>454</v>
      </c>
      <c r="C75" s="139">
        <v>5000</v>
      </c>
      <c r="D75" s="144"/>
      <c r="E75" s="144">
        <v>5000</v>
      </c>
      <c r="F75" s="144"/>
    </row>
    <row r="76" spans="1:6" ht="36">
      <c r="A76" s="137">
        <v>30000000</v>
      </c>
      <c r="B76" s="138" t="s">
        <v>455</v>
      </c>
      <c r="C76" s="139">
        <v>201400</v>
      </c>
      <c r="D76" s="140">
        <v>1400</v>
      </c>
      <c r="E76" s="140">
        <v>380000</v>
      </c>
      <c r="F76" s="140">
        <v>380000</v>
      </c>
    </row>
    <row r="77" spans="1:6" ht="36">
      <c r="A77" s="137">
        <v>31000000</v>
      </c>
      <c r="B77" s="138" t="s">
        <v>456</v>
      </c>
      <c r="C77" s="139">
        <v>1400</v>
      </c>
      <c r="D77" s="140">
        <v>1400</v>
      </c>
      <c r="E77" s="140"/>
      <c r="F77" s="140"/>
    </row>
    <row r="78" spans="1:6" ht="180">
      <c r="A78" s="137">
        <v>31010000</v>
      </c>
      <c r="B78" s="138" t="s">
        <v>457</v>
      </c>
      <c r="C78" s="139">
        <v>1400</v>
      </c>
      <c r="D78" s="140">
        <v>1400</v>
      </c>
      <c r="E78" s="140"/>
      <c r="F78" s="140"/>
    </row>
    <row r="79" spans="1:6" ht="150">
      <c r="A79" s="141">
        <v>31010200</v>
      </c>
      <c r="B79" s="142" t="s">
        <v>30</v>
      </c>
      <c r="C79" s="143">
        <v>1400</v>
      </c>
      <c r="D79" s="144">
        <v>1400</v>
      </c>
      <c r="E79" s="144"/>
      <c r="F79" s="144"/>
    </row>
    <row r="80" spans="1:6" ht="36">
      <c r="A80" s="137">
        <v>33000000</v>
      </c>
      <c r="B80" s="138" t="s">
        <v>14</v>
      </c>
      <c r="C80" s="143">
        <v>200000</v>
      </c>
      <c r="D80" s="140"/>
      <c r="E80" s="140">
        <v>380000</v>
      </c>
      <c r="F80" s="140">
        <v>380000</v>
      </c>
    </row>
    <row r="81" spans="1:6" ht="18.75">
      <c r="A81" s="137">
        <v>33010000</v>
      </c>
      <c r="B81" s="138" t="s">
        <v>15</v>
      </c>
      <c r="C81" s="143">
        <v>200000</v>
      </c>
      <c r="D81" s="140"/>
      <c r="E81" s="140">
        <v>380000</v>
      </c>
      <c r="F81" s="140">
        <v>380000</v>
      </c>
    </row>
    <row r="82" spans="1:6" ht="150">
      <c r="A82" s="141">
        <v>33010100</v>
      </c>
      <c r="B82" s="142" t="s">
        <v>16</v>
      </c>
      <c r="C82" s="143">
        <v>200000</v>
      </c>
      <c r="D82" s="144"/>
      <c r="E82" s="144">
        <v>380000</v>
      </c>
      <c r="F82" s="144">
        <v>380000</v>
      </c>
    </row>
    <row r="83" spans="1:6" ht="18">
      <c r="A83" s="145" t="s">
        <v>17</v>
      </c>
      <c r="B83" s="146"/>
      <c r="C83" s="139">
        <f>D83+E83</f>
        <v>72930109.49</v>
      </c>
      <c r="D83" s="139">
        <f>D76+D53+D30+D21+D13+D24+D19</f>
        <v>70642099.49</v>
      </c>
      <c r="E83" s="139">
        <f>+E53+E80+E48</f>
        <v>2288010</v>
      </c>
      <c r="F83" s="139">
        <f>+F53+F80+F48</f>
        <v>380000</v>
      </c>
    </row>
    <row r="84" spans="1:6" ht="18.75">
      <c r="A84" s="137">
        <v>40000000</v>
      </c>
      <c r="B84" s="138" t="s">
        <v>18</v>
      </c>
      <c r="C84" s="147">
        <f>C86+C88+C93+C95</f>
        <v>72912077</v>
      </c>
      <c r="D84" s="140">
        <f>D86+D88+D93+D95</f>
        <v>71238662</v>
      </c>
      <c r="E84" s="140">
        <f>E86+E88</f>
        <v>1673415</v>
      </c>
      <c r="F84" s="140">
        <f>F86+F88</f>
        <v>1673415</v>
      </c>
    </row>
    <row r="85" spans="1:6" ht="36">
      <c r="A85" s="137">
        <v>41000000</v>
      </c>
      <c r="B85" s="138" t="s">
        <v>19</v>
      </c>
      <c r="C85" s="147">
        <f>C86+C88</f>
        <v>61955990</v>
      </c>
      <c r="D85" s="140">
        <f>D86+D88</f>
        <v>61955990</v>
      </c>
      <c r="E85" s="140">
        <f>E86+E88</f>
        <v>1673415</v>
      </c>
      <c r="F85" s="140">
        <f>F86+F88</f>
        <v>1673415</v>
      </c>
    </row>
    <row r="86" spans="1:6" ht="45.75" customHeight="1">
      <c r="A86" s="137">
        <v>41020000</v>
      </c>
      <c r="B86" s="138" t="s">
        <v>190</v>
      </c>
      <c r="C86" s="147">
        <f>SUM(C87:C87)</f>
        <v>6053200</v>
      </c>
      <c r="D86" s="140">
        <f>SUM(D87:D87)</f>
        <v>6053200</v>
      </c>
      <c r="E86" s="140">
        <f>SUM(E87:E87)</f>
        <v>0</v>
      </c>
      <c r="F86" s="140"/>
    </row>
    <row r="87" spans="1:6" ht="18.75">
      <c r="A87" s="141">
        <v>41020100</v>
      </c>
      <c r="B87" s="142" t="s">
        <v>20</v>
      </c>
      <c r="C87" s="143">
        <v>6053200</v>
      </c>
      <c r="D87" s="144">
        <v>6053200</v>
      </c>
      <c r="E87" s="144"/>
      <c r="F87" s="144"/>
    </row>
    <row r="88" spans="1:6" ht="40.5" customHeight="1">
      <c r="A88" s="137">
        <v>41030000</v>
      </c>
      <c r="B88" s="138" t="s">
        <v>192</v>
      </c>
      <c r="C88" s="147">
        <f>SUM(C89:C92)</f>
        <v>55902790</v>
      </c>
      <c r="D88" s="140">
        <f>SUM(D89:D92)</f>
        <v>55902790</v>
      </c>
      <c r="E88" s="140">
        <f>SUM(E89:E95)</f>
        <v>1673415</v>
      </c>
      <c r="F88" s="140">
        <f>SUM(F89:F95)</f>
        <v>1673415</v>
      </c>
    </row>
    <row r="89" spans="1:6" ht="37.5">
      <c r="A89" s="141">
        <v>41033900</v>
      </c>
      <c r="B89" s="142" t="s">
        <v>21</v>
      </c>
      <c r="C89" s="143">
        <v>34325300</v>
      </c>
      <c r="D89" s="144">
        <v>34325300</v>
      </c>
      <c r="E89" s="144"/>
      <c r="F89" s="144"/>
    </row>
    <row r="90" spans="1:6" ht="37.5">
      <c r="A90" s="141">
        <v>41034200</v>
      </c>
      <c r="B90" s="142" t="s">
        <v>150</v>
      </c>
      <c r="C90" s="143">
        <v>15154600</v>
      </c>
      <c r="D90" s="144">
        <v>15154600</v>
      </c>
      <c r="E90" s="144"/>
      <c r="F90" s="144"/>
    </row>
    <row r="91" spans="1:6" ht="86.25" customHeight="1">
      <c r="A91" s="141">
        <v>41033200</v>
      </c>
      <c r="B91" s="142" t="s">
        <v>350</v>
      </c>
      <c r="C91" s="143">
        <v>6126000</v>
      </c>
      <c r="D91" s="144">
        <v>6126000</v>
      </c>
      <c r="E91" s="144"/>
      <c r="F91" s="144"/>
    </row>
    <row r="92" spans="1:6" ht="87.75" customHeight="1">
      <c r="A92" s="141">
        <v>41034500</v>
      </c>
      <c r="B92" s="142" t="s">
        <v>370</v>
      </c>
      <c r="C92" s="143">
        <v>296890</v>
      </c>
      <c r="D92" s="144">
        <v>296890</v>
      </c>
      <c r="E92" s="144"/>
      <c r="F92" s="144"/>
    </row>
    <row r="93" spans="1:6" ht="36">
      <c r="A93" s="138">
        <v>41040000</v>
      </c>
      <c r="B93" s="138" t="s">
        <v>193</v>
      </c>
      <c r="C93" s="147">
        <f>SUM(C94)</f>
        <v>6840653</v>
      </c>
      <c r="D93" s="186">
        <f>SUM(D94)</f>
        <v>6840653</v>
      </c>
      <c r="E93" s="144"/>
      <c r="F93" s="144"/>
    </row>
    <row r="94" spans="1:6" ht="131.25">
      <c r="A94" s="141">
        <v>41040200</v>
      </c>
      <c r="B94" s="142" t="s">
        <v>9</v>
      </c>
      <c r="C94" s="143">
        <v>6840653</v>
      </c>
      <c r="D94" s="144">
        <v>6840653</v>
      </c>
      <c r="E94" s="144"/>
      <c r="F94" s="144"/>
    </row>
    <row r="95" spans="1:6" ht="54">
      <c r="A95" s="138">
        <v>41050000</v>
      </c>
      <c r="B95" s="138" t="s">
        <v>194</v>
      </c>
      <c r="C95" s="143">
        <f>SUM(C96:C101)</f>
        <v>4115434</v>
      </c>
      <c r="D95" s="144">
        <f>SUM(D96:D101)</f>
        <v>2442019</v>
      </c>
      <c r="E95" s="144">
        <f>SUM(E96:E101)</f>
        <v>1673415</v>
      </c>
      <c r="F95" s="144">
        <f>SUM(F96:F101)</f>
        <v>1673415</v>
      </c>
    </row>
    <row r="96" spans="1:6" ht="18.75">
      <c r="A96" s="141">
        <v>41053900</v>
      </c>
      <c r="B96" s="141" t="s">
        <v>487</v>
      </c>
      <c r="C96" s="143">
        <f>96370+23100+7530</f>
        <v>127000</v>
      </c>
      <c r="D96" s="144">
        <f>96370+23100+7530</f>
        <v>127000</v>
      </c>
      <c r="E96" s="141"/>
      <c r="F96" s="141"/>
    </row>
    <row r="97" spans="1:6" ht="93.75">
      <c r="A97" s="141">
        <v>41051100</v>
      </c>
      <c r="B97" s="142" t="s">
        <v>281</v>
      </c>
      <c r="C97" s="143">
        <v>1673415</v>
      </c>
      <c r="D97" s="144"/>
      <c r="E97" s="141">
        <v>1673415</v>
      </c>
      <c r="F97" s="141">
        <v>1673415</v>
      </c>
    </row>
    <row r="98" spans="1:6" ht="112.5">
      <c r="A98" s="141">
        <v>41051200</v>
      </c>
      <c r="B98" s="142" t="s">
        <v>280</v>
      </c>
      <c r="C98" s="143">
        <v>215500</v>
      </c>
      <c r="D98" s="144">
        <v>215500</v>
      </c>
      <c r="E98" s="141"/>
      <c r="F98" s="141"/>
    </row>
    <row r="99" spans="1:6" ht="131.25">
      <c r="A99" s="141">
        <v>41051400</v>
      </c>
      <c r="B99" s="142" t="s">
        <v>390</v>
      </c>
      <c r="C99" s="143">
        <v>616914</v>
      </c>
      <c r="D99" s="144">
        <v>616914</v>
      </c>
      <c r="E99" s="141"/>
      <c r="F99" s="141"/>
    </row>
    <row r="100" spans="1:6" ht="150">
      <c r="A100" s="141">
        <v>41054100</v>
      </c>
      <c r="B100" s="142" t="s">
        <v>372</v>
      </c>
      <c r="C100" s="143">
        <v>889105</v>
      </c>
      <c r="D100" s="144">
        <v>889105</v>
      </c>
      <c r="E100" s="141"/>
      <c r="F100" s="141"/>
    </row>
    <row r="101" spans="1:6" ht="112.5">
      <c r="A101" s="141">
        <v>41052000</v>
      </c>
      <c r="B101" s="142" t="s">
        <v>10</v>
      </c>
      <c r="C101" s="143">
        <f>318200+275300</f>
        <v>593500</v>
      </c>
      <c r="D101" s="144">
        <f>318200+275300</f>
        <v>593500</v>
      </c>
      <c r="E101" s="144"/>
      <c r="F101" s="144"/>
    </row>
    <row r="102" spans="1:6" ht="18">
      <c r="A102" s="145" t="s">
        <v>22</v>
      </c>
      <c r="B102" s="146"/>
      <c r="C102" s="139">
        <f>C83+C84</f>
        <v>145842186.49</v>
      </c>
      <c r="D102" s="139">
        <f>D83+D84</f>
        <v>141880761.49</v>
      </c>
      <c r="E102" s="139">
        <f>E83+E84</f>
        <v>3961425</v>
      </c>
      <c r="F102" s="139">
        <f>F83+F84</f>
        <v>2053415</v>
      </c>
    </row>
    <row r="104" spans="2:4" ht="18.75">
      <c r="B104" s="181" t="s">
        <v>288</v>
      </c>
      <c r="D104" s="181" t="s">
        <v>289</v>
      </c>
    </row>
  </sheetData>
  <sheetProtection/>
  <mergeCells count="8">
    <mergeCell ref="A5:F5"/>
    <mergeCell ref="A7:A9"/>
    <mergeCell ref="B7:B9"/>
    <mergeCell ref="C7:C9"/>
    <mergeCell ref="D7:D9"/>
    <mergeCell ref="E7:F7"/>
    <mergeCell ref="E8:E9"/>
    <mergeCell ref="F8:F9"/>
  </mergeCells>
  <printOptions horizontalCentered="1"/>
  <pageMargins left="0.7874015748031497" right="0.41" top="0.53" bottom="0.34" header="0.5118110236220472" footer="0.39"/>
  <pageSetup fitToHeight="8" horizontalDpi="300" verticalDpi="300" orientation="portrait" paperSize="9" scale="50" r:id="rId1"/>
  <headerFooter alignWithMargins="0">
    <oddFooter>&amp;R&amp;P</oddFooter>
  </headerFooter>
  <rowBreaks count="3" manualBreakCount="3">
    <brk id="23" max="5" man="1"/>
    <brk id="52" max="5" man="1"/>
    <brk id="77" max="5" man="1"/>
  </rowBreaks>
</worksheet>
</file>

<file path=xl/worksheets/sheet2.xml><?xml version="1.0" encoding="utf-8"?>
<worksheet xmlns="http://schemas.openxmlformats.org/spreadsheetml/2006/main" xmlns:r="http://schemas.openxmlformats.org/officeDocument/2006/relationships">
  <dimension ref="A1:M31"/>
  <sheetViews>
    <sheetView showGridLines="0" showZeros="0" view="pageBreakPreview" zoomScaleSheetLayoutView="100" zoomScalePageLayoutView="0" workbookViewId="0" topLeftCell="A1">
      <selection activeCell="D11" sqref="D11"/>
    </sheetView>
  </sheetViews>
  <sheetFormatPr defaultColWidth="9.16015625" defaultRowHeight="12.75" customHeight="1"/>
  <cols>
    <col min="1" max="1" width="14.33203125" style="2" customWidth="1"/>
    <col min="2" max="2" width="46.33203125" style="2" customWidth="1"/>
    <col min="3" max="3" width="16.33203125" style="2" customWidth="1"/>
    <col min="4" max="4" width="19.5" style="2" customWidth="1"/>
    <col min="5" max="5" width="16.33203125" style="2" customWidth="1"/>
    <col min="6" max="6" width="18.83203125" style="2" customWidth="1"/>
    <col min="7" max="12" width="9.16015625" style="2" customWidth="1"/>
    <col min="13" max="16384" width="9.16015625" style="4" customWidth="1"/>
  </cols>
  <sheetData>
    <row r="1" spans="1:12" s="54" customFormat="1" ht="12.75" customHeight="1">
      <c r="A1" s="53"/>
      <c r="B1" s="53"/>
      <c r="C1" s="53"/>
      <c r="D1" s="53"/>
      <c r="E1" s="53"/>
      <c r="F1" s="53"/>
      <c r="G1" s="53"/>
      <c r="H1" s="53"/>
      <c r="I1" s="53"/>
      <c r="J1" s="53"/>
      <c r="K1" s="53"/>
      <c r="L1" s="53"/>
    </row>
    <row r="3" spans="3:13" ht="78.75" customHeight="1">
      <c r="C3" s="217" t="s">
        <v>110</v>
      </c>
      <c r="D3" s="217"/>
      <c r="E3" s="217"/>
      <c r="F3" s="217"/>
      <c r="M3" s="2"/>
    </row>
    <row r="4" spans="1:6" ht="36" customHeight="1">
      <c r="A4" s="219" t="s">
        <v>161</v>
      </c>
      <c r="B4" s="219"/>
      <c r="C4" s="219"/>
      <c r="D4" s="219"/>
      <c r="E4" s="219"/>
      <c r="F4" s="219"/>
    </row>
    <row r="5" spans="1:6" ht="12.75" customHeight="1">
      <c r="A5" s="216"/>
      <c r="B5" s="216"/>
      <c r="C5" s="216"/>
      <c r="D5" s="216"/>
      <c r="E5" s="216"/>
      <c r="F5" s="67" t="s">
        <v>105</v>
      </c>
    </row>
    <row r="6" spans="1:12" s="41" customFormat="1" ht="24.75" customHeight="1">
      <c r="A6" s="218" t="s">
        <v>66</v>
      </c>
      <c r="B6" s="218" t="s">
        <v>67</v>
      </c>
      <c r="C6" s="218" t="s">
        <v>90</v>
      </c>
      <c r="D6" s="218" t="s">
        <v>87</v>
      </c>
      <c r="E6" s="218" t="s">
        <v>88</v>
      </c>
      <c r="F6" s="218"/>
      <c r="G6" s="40"/>
      <c r="H6" s="40"/>
      <c r="I6" s="40"/>
      <c r="J6" s="40"/>
      <c r="K6" s="40"/>
      <c r="L6" s="40"/>
    </row>
    <row r="7" spans="1:12" s="41" customFormat="1" ht="38.25" customHeight="1">
      <c r="A7" s="218"/>
      <c r="B7" s="218"/>
      <c r="C7" s="218"/>
      <c r="D7" s="218"/>
      <c r="E7" s="61" t="s">
        <v>90</v>
      </c>
      <c r="F7" s="60" t="s">
        <v>103</v>
      </c>
      <c r="G7" s="40"/>
      <c r="H7" s="40"/>
      <c r="I7" s="40"/>
      <c r="J7" s="40"/>
      <c r="K7" s="40"/>
      <c r="L7" s="40"/>
    </row>
    <row r="8" spans="1:12" s="42" customFormat="1" ht="26.25" customHeight="1">
      <c r="A8" s="161" t="s">
        <v>52</v>
      </c>
      <c r="B8" s="161" t="s">
        <v>53</v>
      </c>
      <c r="C8" s="162">
        <f aca="true" t="shared" si="0" ref="C8:C13">D8+E8</f>
        <v>7956017.050000001</v>
      </c>
      <c r="D8" s="162">
        <f>D9+D18+D19+D20+D12+D14</f>
        <v>-13061146.09</v>
      </c>
      <c r="E8" s="162">
        <f>E9+E18+E19+E20+E14</f>
        <v>21017163.14</v>
      </c>
      <c r="F8" s="162">
        <f>F9+F18+F19+F20</f>
        <v>12233387.46</v>
      </c>
      <c r="G8" s="2"/>
      <c r="H8" s="2"/>
      <c r="I8" s="2"/>
      <c r="J8" s="2"/>
      <c r="K8" s="2"/>
      <c r="L8" s="2"/>
    </row>
    <row r="9" spans="1:12" s="44" customFormat="1" ht="36" customHeight="1">
      <c r="A9" s="163">
        <v>208000</v>
      </c>
      <c r="B9" s="164" t="s">
        <v>54</v>
      </c>
      <c r="C9" s="162">
        <f t="shared" si="0"/>
        <v>7956017.050000001</v>
      </c>
      <c r="D9" s="162">
        <f>+D10+D11+D13</f>
        <v>-4295078.41</v>
      </c>
      <c r="E9" s="162">
        <f>E10+E11+E13+E12</f>
        <v>12251095.46</v>
      </c>
      <c r="F9" s="162">
        <f>F10+F11+F13+F12</f>
        <v>12233387.46</v>
      </c>
      <c r="G9" s="43"/>
      <c r="H9" s="43"/>
      <c r="I9" s="43"/>
      <c r="J9" s="43"/>
      <c r="K9" s="43"/>
      <c r="L9" s="43"/>
    </row>
    <row r="10" spans="1:12" s="44" customFormat="1" ht="36" customHeight="1">
      <c r="A10" s="163">
        <v>208100</v>
      </c>
      <c r="B10" s="164" t="s">
        <v>55</v>
      </c>
      <c r="C10" s="162">
        <f t="shared" si="0"/>
        <v>7956017.05</v>
      </c>
      <c r="D10" s="162">
        <f>2235770+3152809+17192.9+119000+42451.68+69001+5090+392800+136338+147254+20000+3000-67240+110000+38477+115.01+17495-65+977000</f>
        <v>7416488.59</v>
      </c>
      <c r="E10" s="162">
        <f>17708+23600+7200+408181.46+23649+59190</f>
        <v>539528.46</v>
      </c>
      <c r="F10" s="162">
        <f>23600+7200+408181.46+23649+59190</f>
        <v>521820.46</v>
      </c>
      <c r="G10" s="43"/>
      <c r="H10" s="43"/>
      <c r="I10" s="43"/>
      <c r="J10" s="43"/>
      <c r="K10" s="43"/>
      <c r="L10" s="43"/>
    </row>
    <row r="11" spans="1:12" s="44" customFormat="1" ht="34.5" customHeight="1">
      <c r="A11" s="165">
        <v>208400</v>
      </c>
      <c r="B11" s="166" t="s">
        <v>56</v>
      </c>
      <c r="C11" s="162">
        <f t="shared" si="0"/>
        <v>0</v>
      </c>
      <c r="D11" s="167">
        <f>-6249000-3152809-147254-20000+10000+672403-1098639+5000-450624+28610-88745+83500-33081+50000-204374-19285-598354-568449+20000+170000-112536-7930</f>
        <v>-11711567</v>
      </c>
      <c r="E11" s="167">
        <f>6249000+3152809+147254+20000-10000-672403+1098639-5000+450624-28610+88745-83500+33081-50000+204374+19285+598354+568449-20000-170000+112536+7930</f>
        <v>11711567</v>
      </c>
      <c r="F11" s="167">
        <f>E11</f>
        <v>11711567</v>
      </c>
      <c r="G11" s="43"/>
      <c r="H11" s="43"/>
      <c r="I11" s="43"/>
      <c r="J11" s="43"/>
      <c r="K11" s="43"/>
      <c r="L11" s="43"/>
    </row>
    <row r="12" spans="1:12" s="44" customFormat="1" ht="38.25" customHeight="1" hidden="1">
      <c r="A12" s="165">
        <v>208400</v>
      </c>
      <c r="B12" s="166" t="s">
        <v>60</v>
      </c>
      <c r="C12" s="162">
        <f t="shared" si="0"/>
        <v>0</v>
      </c>
      <c r="D12" s="167"/>
      <c r="E12" s="167"/>
      <c r="F12" s="167">
        <f>+E12</f>
        <v>0</v>
      </c>
      <c r="G12" s="43"/>
      <c r="H12" s="43"/>
      <c r="I12" s="43"/>
      <c r="J12" s="43"/>
      <c r="K12" s="43"/>
      <c r="L12" s="43"/>
    </row>
    <row r="13" spans="1:12" s="44" customFormat="1" ht="46.5" customHeight="1" hidden="1">
      <c r="A13" s="165">
        <v>208400</v>
      </c>
      <c r="B13" s="166" t="s">
        <v>59</v>
      </c>
      <c r="C13" s="162">
        <f t="shared" si="0"/>
        <v>0</v>
      </c>
      <c r="D13" s="167"/>
      <c r="E13" s="167">
        <f>-D13</f>
        <v>0</v>
      </c>
      <c r="F13" s="167">
        <f>+E13</f>
        <v>0</v>
      </c>
      <c r="G13" s="43"/>
      <c r="H13" s="43"/>
      <c r="I13" s="43"/>
      <c r="J13" s="43"/>
      <c r="K13" s="43"/>
      <c r="L13" s="43"/>
    </row>
    <row r="14" spans="1:12" s="44" customFormat="1" ht="35.25" customHeight="1">
      <c r="A14" s="165">
        <v>208400</v>
      </c>
      <c r="B14" s="166" t="s">
        <v>63</v>
      </c>
      <c r="C14" s="162"/>
      <c r="D14" s="167">
        <f>-119000-42451.68-889105-126000-23649-110000-6126000-296890-38477-17495-977000</f>
        <v>-8766067.68</v>
      </c>
      <c r="E14" s="167">
        <f>-D14</f>
        <v>8766067.68</v>
      </c>
      <c r="F14" s="167">
        <f>+E14</f>
        <v>8766067.68</v>
      </c>
      <c r="G14" s="43"/>
      <c r="H14" s="43"/>
      <c r="I14" s="43"/>
      <c r="J14" s="43"/>
      <c r="K14" s="43"/>
      <c r="L14" s="43"/>
    </row>
    <row r="15" spans="1:12" s="44" customFormat="1" ht="36" customHeight="1">
      <c r="A15" s="62">
        <v>400000</v>
      </c>
      <c r="B15" s="68" t="s">
        <v>68</v>
      </c>
      <c r="C15" s="69"/>
      <c r="D15" s="70"/>
      <c r="E15" s="70"/>
      <c r="F15" s="71"/>
      <c r="G15" s="43"/>
      <c r="H15" s="43"/>
      <c r="I15" s="43"/>
      <c r="J15" s="43"/>
      <c r="K15" s="43"/>
      <c r="L15" s="43"/>
    </row>
    <row r="16" spans="1:12" s="46" customFormat="1" ht="20.25" customHeight="1">
      <c r="A16" s="63">
        <v>401000</v>
      </c>
      <c r="B16" s="64" t="s">
        <v>69</v>
      </c>
      <c r="C16" s="72"/>
      <c r="D16" s="73"/>
      <c r="E16" s="73"/>
      <c r="F16" s="71"/>
      <c r="G16" s="45"/>
      <c r="H16" s="45"/>
      <c r="I16" s="45"/>
      <c r="J16" s="45"/>
      <c r="K16" s="45"/>
      <c r="L16" s="45"/>
    </row>
    <row r="17" spans="1:12" s="46" customFormat="1" ht="20.25" customHeight="1">
      <c r="A17" s="65">
        <v>401100</v>
      </c>
      <c r="B17" s="66" t="s">
        <v>70</v>
      </c>
      <c r="C17" s="74"/>
      <c r="D17" s="75"/>
      <c r="E17" s="75"/>
      <c r="F17" s="71"/>
      <c r="G17" s="45"/>
      <c r="H17" s="45"/>
      <c r="I17" s="45"/>
      <c r="J17" s="45"/>
      <c r="K17" s="45"/>
      <c r="L17" s="45"/>
    </row>
    <row r="18" spans="1:12" s="46" customFormat="1" ht="20.25" customHeight="1">
      <c r="A18" s="65">
        <v>401200</v>
      </c>
      <c r="B18" s="66" t="s">
        <v>71</v>
      </c>
      <c r="C18" s="74"/>
      <c r="D18" s="75"/>
      <c r="E18" s="75"/>
      <c r="F18" s="71"/>
      <c r="G18" s="45"/>
      <c r="H18" s="45"/>
      <c r="I18" s="45"/>
      <c r="J18" s="45"/>
      <c r="K18" s="45"/>
      <c r="L18" s="45"/>
    </row>
    <row r="19" spans="1:12" s="46" customFormat="1" ht="20.25" customHeight="1">
      <c r="A19" s="63">
        <v>402000</v>
      </c>
      <c r="B19" s="64" t="s">
        <v>72</v>
      </c>
      <c r="C19" s="72"/>
      <c r="D19" s="73"/>
      <c r="E19" s="73"/>
      <c r="F19" s="71"/>
      <c r="G19" s="45"/>
      <c r="H19" s="45"/>
      <c r="I19" s="45"/>
      <c r="J19" s="45"/>
      <c r="K19" s="45"/>
      <c r="L19" s="45"/>
    </row>
    <row r="20" spans="1:12" s="46" customFormat="1" ht="20.25" customHeight="1">
      <c r="A20" s="65">
        <v>402100</v>
      </c>
      <c r="B20" s="66" t="s">
        <v>73</v>
      </c>
      <c r="C20" s="74"/>
      <c r="D20" s="75"/>
      <c r="E20" s="75"/>
      <c r="F20" s="71"/>
      <c r="G20" s="45"/>
      <c r="H20" s="45"/>
      <c r="I20" s="45"/>
      <c r="J20" s="45"/>
      <c r="K20" s="45"/>
      <c r="L20" s="45"/>
    </row>
    <row r="21" spans="1:12" s="46" customFormat="1" ht="20.25" customHeight="1">
      <c r="A21" s="65">
        <v>402200</v>
      </c>
      <c r="B21" s="66" t="s">
        <v>74</v>
      </c>
      <c r="C21" s="74"/>
      <c r="D21" s="75"/>
      <c r="E21" s="75"/>
      <c r="F21" s="71"/>
      <c r="G21" s="45"/>
      <c r="H21" s="45"/>
      <c r="I21" s="45"/>
      <c r="J21" s="45"/>
      <c r="K21" s="45"/>
      <c r="L21" s="45"/>
    </row>
    <row r="22" spans="1:12" s="46" customFormat="1" ht="20.25" customHeight="1">
      <c r="A22" s="65" t="s">
        <v>104</v>
      </c>
      <c r="B22" s="66" t="s">
        <v>104</v>
      </c>
      <c r="C22" s="74"/>
      <c r="D22" s="75"/>
      <c r="E22" s="75"/>
      <c r="F22" s="71"/>
      <c r="G22" s="45"/>
      <c r="H22" s="45"/>
      <c r="I22" s="45"/>
      <c r="J22" s="45"/>
      <c r="K22" s="45"/>
      <c r="L22" s="45"/>
    </row>
    <row r="23" spans="1:12" s="44" customFormat="1" ht="36.75" customHeight="1">
      <c r="A23" s="62">
        <v>600000</v>
      </c>
      <c r="B23" s="68" t="s">
        <v>75</v>
      </c>
      <c r="C23" s="69">
        <f>C24+C27</f>
        <v>0</v>
      </c>
      <c r="D23" s="69">
        <f>D24+D27</f>
        <v>0</v>
      </c>
      <c r="E23" s="69">
        <v>0</v>
      </c>
      <c r="F23" s="69">
        <f>F24+F27</f>
        <v>0</v>
      </c>
      <c r="G23" s="43"/>
      <c r="H23" s="43"/>
      <c r="I23" s="43"/>
      <c r="J23" s="43"/>
      <c r="K23" s="43"/>
      <c r="L23" s="43"/>
    </row>
    <row r="24" spans="1:12" s="46" customFormat="1" ht="45">
      <c r="A24" s="63">
        <v>601000</v>
      </c>
      <c r="B24" s="64" t="s">
        <v>76</v>
      </c>
      <c r="C24" s="72">
        <f>+C25</f>
        <v>0</v>
      </c>
      <c r="D24" s="72">
        <f>+D25</f>
        <v>0</v>
      </c>
      <c r="E24" s="72">
        <f>+E25</f>
        <v>0</v>
      </c>
      <c r="F24" s="72">
        <f>+F25</f>
        <v>0</v>
      </c>
      <c r="G24" s="45"/>
      <c r="H24" s="45"/>
      <c r="I24" s="45"/>
      <c r="J24" s="45"/>
      <c r="K24" s="45"/>
      <c r="L24" s="45"/>
    </row>
    <row r="25" spans="1:12" s="46" customFormat="1" ht="34.5" customHeight="1">
      <c r="A25" s="65">
        <v>601200</v>
      </c>
      <c r="B25" s="66" t="s">
        <v>77</v>
      </c>
      <c r="C25" s="74"/>
      <c r="D25" s="75"/>
      <c r="E25" s="75"/>
      <c r="F25" s="71"/>
      <c r="G25" s="45"/>
      <c r="H25" s="45"/>
      <c r="I25" s="45"/>
      <c r="J25" s="45"/>
      <c r="K25" s="45"/>
      <c r="L25" s="45"/>
    </row>
    <row r="26" spans="1:12" s="48" customFormat="1" ht="18.75" customHeight="1">
      <c r="A26" s="65">
        <v>601220</v>
      </c>
      <c r="B26" s="66" t="s">
        <v>78</v>
      </c>
      <c r="C26" s="74"/>
      <c r="D26" s="75"/>
      <c r="E26" s="75"/>
      <c r="F26" s="71"/>
      <c r="G26" s="47"/>
      <c r="H26" s="47"/>
      <c r="I26" s="47"/>
      <c r="J26" s="47"/>
      <c r="K26" s="47"/>
      <c r="L26" s="47"/>
    </row>
    <row r="27" spans="1:12" s="46" customFormat="1" ht="18.75" customHeight="1">
      <c r="A27" s="63">
        <v>602000</v>
      </c>
      <c r="B27" s="64" t="s">
        <v>79</v>
      </c>
      <c r="C27" s="72"/>
      <c r="D27" s="73"/>
      <c r="E27" s="73"/>
      <c r="F27" s="71"/>
      <c r="G27" s="45"/>
      <c r="H27" s="45"/>
      <c r="I27" s="45"/>
      <c r="J27" s="45"/>
      <c r="K27" s="45"/>
      <c r="L27" s="45"/>
    </row>
    <row r="28" spans="1:12" s="46" customFormat="1" ht="18.75" customHeight="1">
      <c r="A28" s="65">
        <v>602100</v>
      </c>
      <c r="B28" s="66" t="s">
        <v>80</v>
      </c>
      <c r="C28" s="74"/>
      <c r="D28" s="75"/>
      <c r="E28" s="75"/>
      <c r="F28" s="71"/>
      <c r="G28" s="45"/>
      <c r="H28" s="45"/>
      <c r="I28" s="45"/>
      <c r="J28" s="45"/>
      <c r="K28" s="45"/>
      <c r="L28" s="45"/>
    </row>
    <row r="29" spans="1:6" ht="21.75" customHeight="1">
      <c r="A29" s="214" t="s">
        <v>57</v>
      </c>
      <c r="B29" s="215"/>
      <c r="C29" s="76">
        <f>C8+C15+C23</f>
        <v>7956017.050000001</v>
      </c>
      <c r="D29" s="76">
        <f>D8+D15+D23</f>
        <v>-13061146.09</v>
      </c>
      <c r="E29" s="76">
        <f>E8+E15+E23</f>
        <v>21017163.14</v>
      </c>
      <c r="F29" s="76">
        <f>F8+F15+F23</f>
        <v>12233387.46</v>
      </c>
    </row>
    <row r="30" spans="1:12" ht="12.75">
      <c r="A30" s="4"/>
      <c r="B30" s="4"/>
      <c r="C30" s="4"/>
      <c r="D30" s="4"/>
      <c r="E30" s="4"/>
      <c r="F30" s="4"/>
      <c r="G30" s="4"/>
      <c r="H30" s="4"/>
      <c r="I30" s="4"/>
      <c r="J30" s="4"/>
      <c r="K30" s="4"/>
      <c r="L30" s="4"/>
    </row>
    <row r="31" spans="2:4" ht="15.75" customHeight="1">
      <c r="B31" s="181" t="s">
        <v>288</v>
      </c>
      <c r="D31" s="181" t="s">
        <v>289</v>
      </c>
    </row>
  </sheetData>
  <sheetProtection/>
  <mergeCells count="9">
    <mergeCell ref="A29:B29"/>
    <mergeCell ref="A5:E5"/>
    <mergeCell ref="C3:F3"/>
    <mergeCell ref="C6:C7"/>
    <mergeCell ref="D6:D7"/>
    <mergeCell ref="E6:F6"/>
    <mergeCell ref="B6:B7"/>
    <mergeCell ref="A6:A7"/>
    <mergeCell ref="A4:F4"/>
  </mergeCells>
  <printOptions horizontalCentered="1"/>
  <pageMargins left="0.31" right="0.5" top="0.5905511811023623" bottom="0.7874015748031497" header="0.11811023622047245" footer="0.5118110236220472"/>
  <pageSetup fitToHeight="8" horizontalDpi="300" verticalDpi="300" orientation="portrait" paperSize="9" scale="77"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U90"/>
  <sheetViews>
    <sheetView showGridLines="0" showZeros="0" view="pageBreakPreview" zoomScaleNormal="120" zoomScaleSheetLayoutView="100" zoomScalePageLayoutView="0" workbookViewId="0" topLeftCell="A61">
      <selection activeCell="G49" sqref="G49"/>
    </sheetView>
  </sheetViews>
  <sheetFormatPr defaultColWidth="9.16015625" defaultRowHeight="12.75"/>
  <cols>
    <col min="1" max="1" width="7.66015625" style="6" customWidth="1"/>
    <col min="2" max="2" width="12.33203125" style="87" customWidth="1"/>
    <col min="3" max="4" width="11.66015625" style="87" customWidth="1"/>
    <col min="5" max="5" width="42" style="6" customWidth="1"/>
    <col min="6" max="6" width="17.16015625" style="6" customWidth="1"/>
    <col min="7" max="7" width="16.83203125" style="6" customWidth="1"/>
    <col min="8" max="8" width="15.16015625" style="6" customWidth="1"/>
    <col min="9" max="9" width="13.66015625" style="6" customWidth="1"/>
    <col min="10" max="10" width="12.66015625" style="6" customWidth="1"/>
    <col min="11" max="11" width="14.83203125" style="6" customWidth="1"/>
    <col min="12" max="12" width="13.83203125" style="6" customWidth="1"/>
    <col min="13" max="14" width="12.66015625" style="6" customWidth="1"/>
    <col min="15" max="15" width="14.5" style="6" customWidth="1"/>
    <col min="16" max="16" width="14.66015625" style="6" customWidth="1"/>
    <col min="17" max="17" width="16.83203125" style="6" customWidth="1"/>
    <col min="18" max="16384" width="9.16015625" style="5" customWidth="1"/>
  </cols>
  <sheetData>
    <row r="1" spans="1:17" s="51" customFormat="1" ht="18.75" customHeight="1">
      <c r="A1" s="50"/>
      <c r="B1" s="200"/>
      <c r="C1" s="200"/>
      <c r="D1" s="200"/>
      <c r="E1" s="200"/>
      <c r="F1" s="200"/>
      <c r="G1" s="200"/>
      <c r="H1" s="200"/>
      <c r="I1" s="200"/>
      <c r="J1" s="200"/>
      <c r="K1" s="200"/>
      <c r="L1" s="200"/>
      <c r="M1" s="200"/>
      <c r="N1" s="200"/>
      <c r="O1" s="200"/>
      <c r="P1" s="200"/>
      <c r="Q1" s="200"/>
    </row>
    <row r="2" spans="1:18" ht="66" customHeight="1">
      <c r="A2" s="2"/>
      <c r="E2" s="2"/>
      <c r="F2" s="1"/>
      <c r="G2" s="1"/>
      <c r="H2" s="1"/>
      <c r="I2" s="1"/>
      <c r="J2" s="1"/>
      <c r="K2" s="1"/>
      <c r="L2" s="1"/>
      <c r="M2" s="1"/>
      <c r="N2" s="217" t="s">
        <v>112</v>
      </c>
      <c r="O2" s="217"/>
      <c r="P2" s="217"/>
      <c r="Q2" s="217"/>
      <c r="R2" s="217"/>
    </row>
    <row r="3" spans="1:17" ht="45" customHeight="1">
      <c r="A3" s="2"/>
      <c r="B3" s="204" t="s">
        <v>156</v>
      </c>
      <c r="C3" s="205"/>
      <c r="D3" s="205"/>
      <c r="E3" s="205"/>
      <c r="F3" s="205"/>
      <c r="G3" s="205"/>
      <c r="H3" s="205"/>
      <c r="I3" s="205"/>
      <c r="J3" s="205"/>
      <c r="K3" s="205"/>
      <c r="L3" s="205"/>
      <c r="M3" s="205"/>
      <c r="N3" s="205"/>
      <c r="O3" s="205"/>
      <c r="P3" s="205"/>
      <c r="Q3" s="205"/>
    </row>
    <row r="4" spans="2:17" ht="18.75">
      <c r="B4" s="88"/>
      <c r="C4" s="89"/>
      <c r="D4" s="89"/>
      <c r="E4" s="7"/>
      <c r="F4" s="7"/>
      <c r="G4" s="7"/>
      <c r="H4" s="10"/>
      <c r="I4" s="7"/>
      <c r="J4" s="7"/>
      <c r="K4" s="8"/>
      <c r="L4" s="9"/>
      <c r="M4" s="9"/>
      <c r="N4" s="9"/>
      <c r="O4" s="9"/>
      <c r="P4" s="9"/>
      <c r="Q4" s="77" t="s">
        <v>105</v>
      </c>
    </row>
    <row r="5" spans="1:17" s="114" customFormat="1" ht="21.75" customHeight="1">
      <c r="A5" s="115"/>
      <c r="B5" s="206" t="s">
        <v>128</v>
      </c>
      <c r="C5" s="206" t="s">
        <v>127</v>
      </c>
      <c r="D5" s="203" t="s">
        <v>134</v>
      </c>
      <c r="E5" s="220" t="s">
        <v>129</v>
      </c>
      <c r="F5" s="202" t="s">
        <v>87</v>
      </c>
      <c r="G5" s="202"/>
      <c r="H5" s="202"/>
      <c r="I5" s="202"/>
      <c r="J5" s="202"/>
      <c r="K5" s="202" t="s">
        <v>88</v>
      </c>
      <c r="L5" s="202"/>
      <c r="M5" s="202"/>
      <c r="N5" s="202"/>
      <c r="O5" s="202"/>
      <c r="P5" s="202"/>
      <c r="Q5" s="202" t="s">
        <v>89</v>
      </c>
    </row>
    <row r="6" spans="1:17" s="114" customFormat="1" ht="16.5" customHeight="1">
      <c r="A6" s="117"/>
      <c r="B6" s="207"/>
      <c r="C6" s="207"/>
      <c r="D6" s="203"/>
      <c r="E6" s="201"/>
      <c r="F6" s="201" t="s">
        <v>90</v>
      </c>
      <c r="G6" s="221" t="s">
        <v>91</v>
      </c>
      <c r="H6" s="201" t="s">
        <v>92</v>
      </c>
      <c r="I6" s="201"/>
      <c r="J6" s="221" t="s">
        <v>93</v>
      </c>
      <c r="K6" s="201" t="s">
        <v>90</v>
      </c>
      <c r="L6" s="221" t="s">
        <v>91</v>
      </c>
      <c r="M6" s="201" t="s">
        <v>92</v>
      </c>
      <c r="N6" s="201"/>
      <c r="O6" s="221" t="s">
        <v>93</v>
      </c>
      <c r="P6" s="116" t="s">
        <v>92</v>
      </c>
      <c r="Q6" s="202"/>
    </row>
    <row r="7" spans="1:17" s="114" customFormat="1" ht="26.25" customHeight="1">
      <c r="A7" s="118"/>
      <c r="B7" s="207"/>
      <c r="C7" s="207"/>
      <c r="D7" s="203"/>
      <c r="E7" s="201"/>
      <c r="F7" s="201"/>
      <c r="G7" s="221"/>
      <c r="H7" s="201" t="s">
        <v>94</v>
      </c>
      <c r="I7" s="201" t="s">
        <v>95</v>
      </c>
      <c r="J7" s="221"/>
      <c r="K7" s="201"/>
      <c r="L7" s="221"/>
      <c r="M7" s="201" t="s">
        <v>94</v>
      </c>
      <c r="N7" s="201" t="s">
        <v>95</v>
      </c>
      <c r="O7" s="221"/>
      <c r="P7" s="220" t="s">
        <v>107</v>
      </c>
      <c r="Q7" s="202"/>
    </row>
    <row r="8" spans="1:17" s="114" customFormat="1" ht="58.5" customHeight="1">
      <c r="A8" s="119"/>
      <c r="B8" s="208"/>
      <c r="C8" s="208"/>
      <c r="D8" s="203"/>
      <c r="E8" s="201"/>
      <c r="F8" s="201"/>
      <c r="G8" s="221"/>
      <c r="H8" s="201"/>
      <c r="I8" s="201"/>
      <c r="J8" s="221"/>
      <c r="K8" s="201"/>
      <c r="L8" s="221"/>
      <c r="M8" s="201"/>
      <c r="N8" s="201"/>
      <c r="O8" s="221"/>
      <c r="P8" s="220"/>
      <c r="Q8" s="202"/>
    </row>
    <row r="9" spans="1:17" s="114" customFormat="1" ht="9" customHeight="1">
      <c r="A9" s="119"/>
      <c r="B9" s="153"/>
      <c r="C9" s="153"/>
      <c r="D9" s="150"/>
      <c r="E9" s="151"/>
      <c r="F9" s="151"/>
      <c r="G9" s="149"/>
      <c r="H9" s="151"/>
      <c r="I9" s="151"/>
      <c r="J9" s="149"/>
      <c r="K9" s="151"/>
      <c r="L9" s="149"/>
      <c r="M9" s="151"/>
      <c r="N9" s="151"/>
      <c r="O9" s="149"/>
      <c r="P9" s="116"/>
      <c r="Q9" s="152"/>
    </row>
    <row r="10" spans="1:17" s="124" customFormat="1" ht="21" customHeight="1">
      <c r="A10" s="120"/>
      <c r="B10" s="121" t="s">
        <v>106</v>
      </c>
      <c r="C10" s="121"/>
      <c r="D10" s="121"/>
      <c r="E10" s="122" t="s">
        <v>139</v>
      </c>
      <c r="F10" s="123">
        <f>F11</f>
        <v>49802545.4</v>
      </c>
      <c r="G10" s="123">
        <f aca="true" t="shared" si="0" ref="G10:Q10">G11</f>
        <v>49682545.4</v>
      </c>
      <c r="H10" s="123">
        <f t="shared" si="0"/>
        <v>16825198</v>
      </c>
      <c r="I10" s="123">
        <f t="shared" si="0"/>
        <v>833261</v>
      </c>
      <c r="J10" s="123">
        <f t="shared" si="0"/>
        <v>0</v>
      </c>
      <c r="K10" s="123">
        <f t="shared" si="0"/>
        <v>17789269.14</v>
      </c>
      <c r="L10" s="123">
        <f t="shared" si="0"/>
        <v>223208</v>
      </c>
      <c r="M10" s="123">
        <f t="shared" si="0"/>
        <v>0</v>
      </c>
      <c r="N10" s="123">
        <f t="shared" si="0"/>
        <v>18207</v>
      </c>
      <c r="O10" s="123">
        <f t="shared" si="0"/>
        <v>17566061.14</v>
      </c>
      <c r="P10" s="123">
        <f t="shared" si="0"/>
        <v>17566061.14</v>
      </c>
      <c r="Q10" s="123">
        <f t="shared" si="0"/>
        <v>67513554.53999999</v>
      </c>
    </row>
    <row r="11" spans="1:17" s="114" customFormat="1" ht="14.25">
      <c r="A11" s="113"/>
      <c r="B11" s="121" t="s">
        <v>96</v>
      </c>
      <c r="C11" s="121"/>
      <c r="D11" s="121"/>
      <c r="E11" s="122" t="s">
        <v>139</v>
      </c>
      <c r="F11" s="125">
        <f aca="true" t="shared" si="1" ref="F11:Q11">SUM(F12:F46)</f>
        <v>49802545.4</v>
      </c>
      <c r="G11" s="125">
        <f t="shared" si="1"/>
        <v>49682545.4</v>
      </c>
      <c r="H11" s="125">
        <f t="shared" si="1"/>
        <v>16825198</v>
      </c>
      <c r="I11" s="125">
        <f t="shared" si="1"/>
        <v>833261</v>
      </c>
      <c r="J11" s="125">
        <f t="shared" si="1"/>
        <v>0</v>
      </c>
      <c r="K11" s="125">
        <f t="shared" si="1"/>
        <v>17789269.14</v>
      </c>
      <c r="L11" s="125">
        <f t="shared" si="1"/>
        <v>223208</v>
      </c>
      <c r="M11" s="125">
        <f t="shared" si="1"/>
        <v>0</v>
      </c>
      <c r="N11" s="125">
        <f t="shared" si="1"/>
        <v>18207</v>
      </c>
      <c r="O11" s="125">
        <f t="shared" si="1"/>
        <v>17566061.14</v>
      </c>
      <c r="P11" s="125">
        <f t="shared" si="1"/>
        <v>17566061.14</v>
      </c>
      <c r="Q11" s="125">
        <f t="shared" si="1"/>
        <v>67513554.53999999</v>
      </c>
    </row>
    <row r="12" spans="1:17" s="114" customFormat="1" ht="90">
      <c r="A12" s="113"/>
      <c r="B12" s="121" t="s">
        <v>458</v>
      </c>
      <c r="C12" s="126" t="s">
        <v>459</v>
      </c>
      <c r="D12" s="126" t="s">
        <v>33</v>
      </c>
      <c r="E12" s="127" t="s">
        <v>460</v>
      </c>
      <c r="F12" s="129">
        <f aca="true" t="shared" si="2" ref="F12:F21">G12</f>
        <v>12661554.52</v>
      </c>
      <c r="G12" s="125">
        <f>11589623-358558+82400+20500+14950+4000+9000+21000+15500+10400+15000+10400+6000+18710+5280+5894-72300+7698+34881+6000+6000+350000-100+32000+9500+12000+368000+90000+3000+115.01+346233.51-1572</f>
        <v>12661554.52</v>
      </c>
      <c r="H12" s="125">
        <f>8580885-293900+286885-59246+301640+15300+283797.96</f>
        <v>9115361.96</v>
      </c>
      <c r="I12" s="125">
        <f>213344+6000</f>
        <v>219344</v>
      </c>
      <c r="J12" s="125"/>
      <c r="K12" s="125">
        <f>42700+23600+14235+100</f>
        <v>80635</v>
      </c>
      <c r="L12" s="125"/>
      <c r="M12" s="125"/>
      <c r="N12" s="125"/>
      <c r="O12" s="125">
        <f>23600+42700+14235+100</f>
        <v>80635</v>
      </c>
      <c r="P12" s="125">
        <f>23600+42700+14235+100</f>
        <v>80635</v>
      </c>
      <c r="Q12" s="125">
        <f>F12+K12</f>
        <v>12742189.52</v>
      </c>
    </row>
    <row r="13" spans="1:17" s="114" customFormat="1" ht="60">
      <c r="A13" s="113"/>
      <c r="B13" s="121" t="s">
        <v>464</v>
      </c>
      <c r="C13" s="126" t="s">
        <v>465</v>
      </c>
      <c r="D13" s="126" t="s">
        <v>185</v>
      </c>
      <c r="E13" s="127" t="s">
        <v>466</v>
      </c>
      <c r="F13" s="129">
        <f t="shared" si="2"/>
        <v>5030041.390000001</v>
      </c>
      <c r="G13" s="178">
        <f>4189608+30000+9750+69552+10000+17192.9+4500+20000+36700+24250+50000+5646.49+45000+330000+30000+22800+3200+3582+39600+45170+3504+5000+25000+9986</f>
        <v>5030041.390000001</v>
      </c>
      <c r="H13" s="125">
        <f>2950050+270492</f>
        <v>3220542</v>
      </c>
      <c r="I13" s="125">
        <v>322106</v>
      </c>
      <c r="J13" s="125"/>
      <c r="K13" s="125">
        <v>67300</v>
      </c>
      <c r="L13" s="125"/>
      <c r="M13" s="125"/>
      <c r="N13" s="125"/>
      <c r="O13" s="125">
        <v>67300</v>
      </c>
      <c r="P13" s="125">
        <v>67300</v>
      </c>
      <c r="Q13" s="125">
        <f>F13+K13</f>
        <v>5097341.390000001</v>
      </c>
    </row>
    <row r="14" spans="1:17" s="114" customFormat="1" ht="45">
      <c r="A14" s="113"/>
      <c r="B14" s="121" t="s">
        <v>174</v>
      </c>
      <c r="C14" s="126" t="s">
        <v>175</v>
      </c>
      <c r="D14" s="126" t="s">
        <v>467</v>
      </c>
      <c r="E14" s="127" t="s">
        <v>186</v>
      </c>
      <c r="F14" s="129">
        <f t="shared" si="2"/>
        <v>593500</v>
      </c>
      <c r="G14" s="178">
        <f>318200+275300</f>
        <v>593500</v>
      </c>
      <c r="H14" s="125"/>
      <c r="I14" s="125"/>
      <c r="J14" s="125"/>
      <c r="K14" s="125"/>
      <c r="L14" s="125"/>
      <c r="M14" s="125"/>
      <c r="N14" s="125"/>
      <c r="O14" s="125"/>
      <c r="P14" s="125"/>
      <c r="Q14" s="125">
        <f>F14+K14</f>
        <v>593500</v>
      </c>
    </row>
    <row r="15" spans="1:17" s="114" customFormat="1" ht="30">
      <c r="A15" s="113"/>
      <c r="B15" s="121" t="s">
        <v>176</v>
      </c>
      <c r="C15" s="126" t="s">
        <v>177</v>
      </c>
      <c r="D15" s="126" t="s">
        <v>467</v>
      </c>
      <c r="E15" s="127" t="s">
        <v>178</v>
      </c>
      <c r="F15" s="129">
        <f t="shared" si="2"/>
        <v>62000</v>
      </c>
      <c r="G15" s="125">
        <v>62000</v>
      </c>
      <c r="H15" s="125"/>
      <c r="I15" s="125"/>
      <c r="J15" s="125"/>
      <c r="K15" s="125"/>
      <c r="L15" s="125"/>
      <c r="M15" s="125"/>
      <c r="N15" s="125"/>
      <c r="O15" s="125"/>
      <c r="P15" s="125"/>
      <c r="Q15" s="125">
        <f>F15+K15</f>
        <v>62000</v>
      </c>
    </row>
    <row r="16" spans="1:17" s="114" customFormat="1" ht="75">
      <c r="A16" s="113"/>
      <c r="B16" s="121" t="s">
        <v>36</v>
      </c>
      <c r="C16" s="126" t="s">
        <v>48</v>
      </c>
      <c r="D16" s="126" t="s">
        <v>34</v>
      </c>
      <c r="E16" s="127" t="s">
        <v>141</v>
      </c>
      <c r="F16" s="129">
        <f t="shared" si="2"/>
        <v>3946494</v>
      </c>
      <c r="G16" s="125">
        <v>3946494</v>
      </c>
      <c r="H16" s="125">
        <v>3184275</v>
      </c>
      <c r="I16" s="125">
        <v>31399</v>
      </c>
      <c r="J16" s="125"/>
      <c r="K16" s="125">
        <v>150000</v>
      </c>
      <c r="L16" s="125">
        <v>150000</v>
      </c>
      <c r="M16" s="125"/>
      <c r="N16" s="125">
        <v>18207</v>
      </c>
      <c r="O16" s="125"/>
      <c r="P16" s="125"/>
      <c r="Q16" s="125">
        <f aca="true" t="shared" si="3" ref="Q16:Q67">F16+K16</f>
        <v>4096494</v>
      </c>
    </row>
    <row r="17" spans="1:17" s="114" customFormat="1" ht="30">
      <c r="A17" s="113"/>
      <c r="B17" s="121" t="s">
        <v>166</v>
      </c>
      <c r="C17" s="126" t="s">
        <v>167</v>
      </c>
      <c r="D17" s="126" t="s">
        <v>140</v>
      </c>
      <c r="E17" s="127" t="s">
        <v>168</v>
      </c>
      <c r="F17" s="129">
        <f t="shared" si="2"/>
        <v>555000</v>
      </c>
      <c r="G17" s="125">
        <f>300000+55000+100000+100000</f>
        <v>555000</v>
      </c>
      <c r="H17" s="125"/>
      <c r="I17" s="125"/>
      <c r="J17" s="125"/>
      <c r="K17" s="125"/>
      <c r="L17" s="125"/>
      <c r="M17" s="125"/>
      <c r="N17" s="125"/>
      <c r="O17" s="125"/>
      <c r="P17" s="125"/>
      <c r="Q17" s="125">
        <f t="shared" si="3"/>
        <v>555000</v>
      </c>
    </row>
    <row r="18" spans="1:17" s="114" customFormat="1" ht="45">
      <c r="A18" s="113"/>
      <c r="B18" s="121" t="s">
        <v>468</v>
      </c>
      <c r="C18" s="126" t="s">
        <v>469</v>
      </c>
      <c r="D18" s="126" t="s">
        <v>142</v>
      </c>
      <c r="E18" s="127" t="s">
        <v>470</v>
      </c>
      <c r="F18" s="129">
        <f t="shared" si="2"/>
        <v>502798</v>
      </c>
      <c r="G18" s="125">
        <v>502798</v>
      </c>
      <c r="H18" s="125">
        <v>389999</v>
      </c>
      <c r="I18" s="125"/>
      <c r="J18" s="125"/>
      <c r="K18" s="125"/>
      <c r="L18" s="125"/>
      <c r="M18" s="125"/>
      <c r="N18" s="125"/>
      <c r="O18" s="125"/>
      <c r="P18" s="125"/>
      <c r="Q18" s="125">
        <f>F18+K18</f>
        <v>502798</v>
      </c>
    </row>
    <row r="19" spans="1:17" s="114" customFormat="1" ht="60">
      <c r="A19" s="113"/>
      <c r="B19" s="121" t="s">
        <v>251</v>
      </c>
      <c r="C19" s="126" t="s">
        <v>252</v>
      </c>
      <c r="D19" s="126" t="s">
        <v>268</v>
      </c>
      <c r="E19" s="127" t="s">
        <v>253</v>
      </c>
      <c r="F19" s="129">
        <f t="shared" si="2"/>
        <v>63100</v>
      </c>
      <c r="G19" s="125">
        <f>20000+23100+10000+10000</f>
        <v>63100</v>
      </c>
      <c r="H19" s="125"/>
      <c r="I19" s="125"/>
      <c r="J19" s="125"/>
      <c r="K19" s="125"/>
      <c r="L19" s="125"/>
      <c r="M19" s="125"/>
      <c r="N19" s="125"/>
      <c r="O19" s="125"/>
      <c r="P19" s="125"/>
      <c r="Q19" s="125">
        <f>F19+K19</f>
        <v>63100</v>
      </c>
    </row>
    <row r="20" spans="1:17" s="114" customFormat="1" ht="75">
      <c r="A20" s="113"/>
      <c r="B20" s="121" t="s">
        <v>221</v>
      </c>
      <c r="C20" s="126" t="s">
        <v>222</v>
      </c>
      <c r="D20" s="126" t="s">
        <v>144</v>
      </c>
      <c r="E20" s="127" t="s">
        <v>223</v>
      </c>
      <c r="F20" s="129">
        <f>107000+50000+67100</f>
        <v>224100</v>
      </c>
      <c r="G20" s="125">
        <f>107000+50000+67100</f>
        <v>224100</v>
      </c>
      <c r="H20" s="125"/>
      <c r="I20" s="125"/>
      <c r="J20" s="125"/>
      <c r="K20" s="125"/>
      <c r="L20" s="125"/>
      <c r="M20" s="125"/>
      <c r="N20" s="125"/>
      <c r="O20" s="125"/>
      <c r="P20" s="125"/>
      <c r="Q20" s="125">
        <v>157000</v>
      </c>
    </row>
    <row r="21" spans="1:17" s="114" customFormat="1" ht="30">
      <c r="A21" s="113"/>
      <c r="B21" s="121" t="s">
        <v>471</v>
      </c>
      <c r="C21" s="126" t="s">
        <v>472</v>
      </c>
      <c r="D21" s="126" t="s">
        <v>144</v>
      </c>
      <c r="E21" s="127" t="s">
        <v>473</v>
      </c>
      <c r="F21" s="129">
        <f t="shared" si="2"/>
        <v>4226008</v>
      </c>
      <c r="G21" s="125">
        <f>2618141+25200+30000+8000+63090+116897+34000+100000+100000+50000+3000+160000+39000+8200+21810+35828+20400+18500+100000+30000+2000+32900+5894+32451+12230+11627+12650+100000+30000+20000+20000+9000+50000+15000+14650+70000+32000+41000+25000+2540+60000+45000</f>
        <v>4226008</v>
      </c>
      <c r="H21" s="125">
        <v>186150</v>
      </c>
      <c r="I21" s="125">
        <v>217554</v>
      </c>
      <c r="J21" s="125"/>
      <c r="K21" s="125">
        <f>2689+40000+200000+33694+23079+43800+19967+72000+39000+160924+39158</f>
        <v>674311</v>
      </c>
      <c r="L21" s="125"/>
      <c r="M21" s="125"/>
      <c r="N21" s="125"/>
      <c r="O21" s="125">
        <f>2689+40000+200000+33694+23079+43800+19967+72000+39000+160924+39158</f>
        <v>674311</v>
      </c>
      <c r="P21" s="125">
        <f>2689+40000+200000+33694+23079+43800+19967+72000+39000+160924+39158</f>
        <v>674311</v>
      </c>
      <c r="Q21" s="125">
        <f t="shared" si="3"/>
        <v>4900319</v>
      </c>
    </row>
    <row r="22" spans="1:17" s="114" customFormat="1" ht="36" customHeight="1">
      <c r="A22" s="113"/>
      <c r="B22" s="121" t="s">
        <v>162</v>
      </c>
      <c r="C22" s="126" t="s">
        <v>163</v>
      </c>
      <c r="D22" s="126" t="s">
        <v>144</v>
      </c>
      <c r="E22" s="127" t="s">
        <v>432</v>
      </c>
      <c r="F22" s="129">
        <v>17700</v>
      </c>
      <c r="G22" s="125">
        <v>17700</v>
      </c>
      <c r="H22" s="125"/>
      <c r="I22" s="125"/>
      <c r="J22" s="125"/>
      <c r="K22" s="125">
        <f>70000+553124+9200+18000+12780+17000+11410+82900+19286</f>
        <v>793700</v>
      </c>
      <c r="L22" s="125"/>
      <c r="M22" s="125"/>
      <c r="N22" s="125"/>
      <c r="O22" s="125">
        <f>70000+553124+9200+18000+12780+17000+11410+82900+19286</f>
        <v>793700</v>
      </c>
      <c r="P22" s="125">
        <f>70000+553124+9200+18000+12780+17000+11410+82900+19286</f>
        <v>793700</v>
      </c>
      <c r="Q22" s="125">
        <f t="shared" si="3"/>
        <v>811400</v>
      </c>
    </row>
    <row r="23" spans="1:17" s="114" customFormat="1" ht="23.25" customHeight="1">
      <c r="A23" s="113"/>
      <c r="B23" s="121" t="s">
        <v>474</v>
      </c>
      <c r="C23" s="126" t="s">
        <v>475</v>
      </c>
      <c r="D23" s="126" t="s">
        <v>35</v>
      </c>
      <c r="E23" s="127" t="s">
        <v>476</v>
      </c>
      <c r="F23" s="129">
        <f>G23</f>
        <v>298942</v>
      </c>
      <c r="G23" s="125">
        <v>298942</v>
      </c>
      <c r="H23" s="125">
        <f>213372-88100-3300-5216</f>
        <v>116756</v>
      </c>
      <c r="I23" s="125">
        <v>6840</v>
      </c>
      <c r="J23" s="125"/>
      <c r="K23" s="125"/>
      <c r="L23" s="125"/>
      <c r="M23" s="125"/>
      <c r="N23" s="125"/>
      <c r="O23" s="125"/>
      <c r="P23" s="125"/>
      <c r="Q23" s="125">
        <f t="shared" si="3"/>
        <v>298942</v>
      </c>
    </row>
    <row r="24" spans="1:17" s="114" customFormat="1" ht="33" customHeight="1">
      <c r="A24" s="113"/>
      <c r="B24" s="121" t="s">
        <v>461</v>
      </c>
      <c r="C24" s="126" t="s">
        <v>462</v>
      </c>
      <c r="D24" s="126" t="s">
        <v>35</v>
      </c>
      <c r="E24" s="127" t="s">
        <v>463</v>
      </c>
      <c r="F24" s="129">
        <f>G24</f>
        <v>522733</v>
      </c>
      <c r="G24" s="125">
        <v>522733</v>
      </c>
      <c r="H24" s="125">
        <v>371504</v>
      </c>
      <c r="I24" s="125">
        <v>16898</v>
      </c>
      <c r="J24" s="125"/>
      <c r="K24" s="125"/>
      <c r="L24" s="125"/>
      <c r="M24" s="125"/>
      <c r="N24" s="125"/>
      <c r="O24" s="125"/>
      <c r="P24" s="125"/>
      <c r="Q24" s="125">
        <f>F24+K24</f>
        <v>522733</v>
      </c>
    </row>
    <row r="25" spans="1:21" s="114" customFormat="1" ht="43.5" customHeight="1">
      <c r="A25" s="113"/>
      <c r="B25" s="121" t="s">
        <v>481</v>
      </c>
      <c r="C25" s="126" t="s">
        <v>482</v>
      </c>
      <c r="D25" s="126" t="s">
        <v>35</v>
      </c>
      <c r="E25" s="127" t="s">
        <v>187</v>
      </c>
      <c r="F25" s="129">
        <f>G25</f>
        <v>75250</v>
      </c>
      <c r="G25" s="125">
        <v>75250</v>
      </c>
      <c r="H25" s="125"/>
      <c r="I25" s="125"/>
      <c r="J25" s="125"/>
      <c r="K25" s="125"/>
      <c r="L25" s="125"/>
      <c r="M25" s="125"/>
      <c r="N25" s="125"/>
      <c r="O25" s="125"/>
      <c r="P25" s="125"/>
      <c r="Q25" s="125">
        <f>F25+K25</f>
        <v>75250</v>
      </c>
      <c r="U25" s="195"/>
    </row>
    <row r="26" spans="1:17" s="114" customFormat="1" ht="27.75" customHeight="1">
      <c r="A26" s="113"/>
      <c r="B26" s="121" t="s">
        <v>218</v>
      </c>
      <c r="C26" s="126" t="s">
        <v>219</v>
      </c>
      <c r="D26" s="126" t="s">
        <v>230</v>
      </c>
      <c r="E26" s="127" t="s">
        <v>220</v>
      </c>
      <c r="F26" s="129">
        <f>20000+20000+40000+21000</f>
        <v>101000</v>
      </c>
      <c r="G26" s="125">
        <f>20000+20000+40000+21000</f>
        <v>101000</v>
      </c>
      <c r="H26" s="125"/>
      <c r="I26" s="125"/>
      <c r="J26" s="125"/>
      <c r="K26" s="125"/>
      <c r="L26" s="125"/>
      <c r="M26" s="125"/>
      <c r="N26" s="125"/>
      <c r="O26" s="125"/>
      <c r="P26" s="125"/>
      <c r="Q26" s="125">
        <f>F26+K26</f>
        <v>101000</v>
      </c>
    </row>
    <row r="27" spans="1:17" s="114" customFormat="1" ht="21" customHeight="1">
      <c r="A27" s="113"/>
      <c r="B27" s="121" t="s">
        <v>371</v>
      </c>
      <c r="C27" s="126" t="s">
        <v>216</v>
      </c>
      <c r="D27" s="126" t="s">
        <v>230</v>
      </c>
      <c r="E27" s="127" t="s">
        <v>217</v>
      </c>
      <c r="F27" s="129">
        <f>100000+1500+121180+11160</f>
        <v>233840</v>
      </c>
      <c r="G27" s="125">
        <f>100000+1500+121180+11160</f>
        <v>233840</v>
      </c>
      <c r="H27" s="125"/>
      <c r="I27" s="125"/>
      <c r="J27" s="125"/>
      <c r="K27" s="125"/>
      <c r="L27" s="125"/>
      <c r="M27" s="125"/>
      <c r="N27" s="125"/>
      <c r="O27" s="125"/>
      <c r="P27" s="125"/>
      <c r="Q27" s="125">
        <f>100000+1500+121180</f>
        <v>222680</v>
      </c>
    </row>
    <row r="28" spans="1:17" s="114" customFormat="1" ht="45">
      <c r="A28" s="113"/>
      <c r="B28" s="121" t="s">
        <v>479</v>
      </c>
      <c r="C28" s="126" t="s">
        <v>480</v>
      </c>
      <c r="D28" s="126" t="s">
        <v>146</v>
      </c>
      <c r="E28" s="127" t="s">
        <v>188</v>
      </c>
      <c r="F28" s="129">
        <f>G28</f>
        <v>0</v>
      </c>
      <c r="G28" s="125"/>
      <c r="H28" s="125"/>
      <c r="I28" s="125"/>
      <c r="J28" s="125"/>
      <c r="K28" s="125">
        <v>200000</v>
      </c>
      <c r="L28" s="125"/>
      <c r="M28" s="125"/>
      <c r="N28" s="125"/>
      <c r="O28" s="125">
        <v>200000</v>
      </c>
      <c r="P28" s="125">
        <v>200000</v>
      </c>
      <c r="Q28" s="125">
        <f t="shared" si="3"/>
        <v>200000</v>
      </c>
    </row>
    <row r="29" spans="1:17" s="114" customFormat="1" ht="60">
      <c r="A29" s="113"/>
      <c r="B29" s="121" t="s">
        <v>286</v>
      </c>
      <c r="C29" s="126" t="s">
        <v>287</v>
      </c>
      <c r="D29" s="126" t="s">
        <v>231</v>
      </c>
      <c r="E29" s="127" t="s">
        <v>266</v>
      </c>
      <c r="F29" s="129"/>
      <c r="G29" s="125"/>
      <c r="H29" s="125"/>
      <c r="I29" s="125"/>
      <c r="J29" s="125"/>
      <c r="K29" s="125">
        <v>303000</v>
      </c>
      <c r="L29" s="188"/>
      <c r="M29" s="125"/>
      <c r="N29" s="125"/>
      <c r="O29" s="125">
        <v>303000</v>
      </c>
      <c r="P29" s="125">
        <v>303000</v>
      </c>
      <c r="Q29" s="125">
        <f t="shared" si="3"/>
        <v>303000</v>
      </c>
    </row>
    <row r="30" spans="1:17" s="114" customFormat="1" ht="60">
      <c r="A30" s="113"/>
      <c r="B30" s="121" t="s">
        <v>351</v>
      </c>
      <c r="C30" s="126" t="s">
        <v>352</v>
      </c>
      <c r="D30" s="126" t="s">
        <v>231</v>
      </c>
      <c r="E30" s="127" t="s">
        <v>361</v>
      </c>
      <c r="F30" s="129"/>
      <c r="G30" s="125"/>
      <c r="H30" s="125"/>
      <c r="I30" s="125"/>
      <c r="J30" s="125"/>
      <c r="K30" s="125">
        <f>1045390+2975693+2104917</f>
        <v>6126000</v>
      </c>
      <c r="L30" s="188"/>
      <c r="M30" s="125"/>
      <c r="N30" s="125"/>
      <c r="O30" s="125">
        <v>6126000</v>
      </c>
      <c r="P30" s="125">
        <v>6126000</v>
      </c>
      <c r="Q30" s="125">
        <f t="shared" si="3"/>
        <v>6126000</v>
      </c>
    </row>
    <row r="31" spans="1:17" s="114" customFormat="1" ht="75">
      <c r="A31" s="113"/>
      <c r="B31" s="121" t="s">
        <v>227</v>
      </c>
      <c r="C31" s="126" t="s">
        <v>228</v>
      </c>
      <c r="D31" s="126" t="s">
        <v>231</v>
      </c>
      <c r="E31" s="127" t="s">
        <v>229</v>
      </c>
      <c r="F31" s="129"/>
      <c r="G31" s="125"/>
      <c r="H31" s="125"/>
      <c r="I31" s="125"/>
      <c r="J31" s="125"/>
      <c r="K31" s="125">
        <f>236529+125829+45823.46+42451.68+13700+889105+296890+3000</f>
        <v>1653328.1400000001</v>
      </c>
      <c r="L31" s="188"/>
      <c r="M31" s="125"/>
      <c r="N31" s="125"/>
      <c r="O31" s="125">
        <f>236529+125829+45823.46+42451.68+13700+889105+296890+3000</f>
        <v>1653328.1400000001</v>
      </c>
      <c r="P31" s="125">
        <f>236529+125829+45823.46+42451.68+13700+889105+296890+3000</f>
        <v>1653328.1400000001</v>
      </c>
      <c r="Q31" s="125">
        <f t="shared" si="3"/>
        <v>1653328.1400000001</v>
      </c>
    </row>
    <row r="32" spans="1:17" s="114" customFormat="1" ht="90">
      <c r="A32" s="113"/>
      <c r="B32" s="121" t="s">
        <v>324</v>
      </c>
      <c r="C32" s="126" t="s">
        <v>325</v>
      </c>
      <c r="D32" s="126" t="s">
        <v>231</v>
      </c>
      <c r="E32" s="127" t="s">
        <v>326</v>
      </c>
      <c r="F32" s="129"/>
      <c r="G32" s="125"/>
      <c r="H32" s="125"/>
      <c r="I32" s="125"/>
      <c r="J32" s="125"/>
      <c r="K32" s="125">
        <v>598354</v>
      </c>
      <c r="L32" s="188"/>
      <c r="M32" s="125"/>
      <c r="N32" s="125"/>
      <c r="O32" s="125">
        <v>598354</v>
      </c>
      <c r="P32" s="125">
        <v>598354</v>
      </c>
      <c r="Q32" s="125">
        <v>598354</v>
      </c>
    </row>
    <row r="33" spans="1:17" s="114" customFormat="1" ht="30">
      <c r="A33" s="113"/>
      <c r="B33" s="121" t="s">
        <v>224</v>
      </c>
      <c r="C33" s="126" t="s">
        <v>225</v>
      </c>
      <c r="D33" s="126" t="s">
        <v>232</v>
      </c>
      <c r="E33" s="127" t="s">
        <v>226</v>
      </c>
      <c r="F33" s="129">
        <v>0</v>
      </c>
      <c r="G33" s="125"/>
      <c r="H33" s="125"/>
      <c r="I33" s="125"/>
      <c r="J33" s="125"/>
      <c r="K33" s="125">
        <v>490000</v>
      </c>
      <c r="L33" s="188"/>
      <c r="M33" s="125"/>
      <c r="N33" s="125"/>
      <c r="O33" s="125">
        <v>490000</v>
      </c>
      <c r="P33" s="125">
        <v>490000</v>
      </c>
      <c r="Q33" s="125">
        <v>490000</v>
      </c>
    </row>
    <row r="34" spans="1:17" s="114" customFormat="1" ht="52.5" customHeight="1">
      <c r="A34" s="113"/>
      <c r="B34" s="121" t="s">
        <v>169</v>
      </c>
      <c r="C34" s="126" t="s">
        <v>170</v>
      </c>
      <c r="D34" s="126" t="s">
        <v>38</v>
      </c>
      <c r="E34" s="127" t="s">
        <v>171</v>
      </c>
      <c r="F34" s="129">
        <f>G34</f>
        <v>3313880</v>
      </c>
      <c r="G34" s="125">
        <f>1285000+100000+170000+60000+290000+49996+54946+49969+54946+90023+650000+150000+309000</f>
        <v>3313880</v>
      </c>
      <c r="H34" s="125"/>
      <c r="I34" s="125"/>
      <c r="J34" s="125"/>
      <c r="K34" s="125">
        <f>6249000+7200+55725-18050+18050+15050+6000+16050+6357+2693+1077+4309+4847</f>
        <v>6368308</v>
      </c>
      <c r="L34" s="196"/>
      <c r="M34" s="125"/>
      <c r="N34" s="125"/>
      <c r="O34" s="125">
        <f>7200+6249000+55725-18050+18050+15050+6000+16050+6357+2693+1077+4309+4847</f>
        <v>6368308</v>
      </c>
      <c r="P34" s="125">
        <f>6249000+7200+55725-18050+18050+15050+6000+16050+6357+2693+1077+4309+4847</f>
        <v>6368308</v>
      </c>
      <c r="Q34" s="125">
        <f>F34+K34</f>
        <v>9682188</v>
      </c>
    </row>
    <row r="35" spans="1:17" s="114" customFormat="1" ht="32.25" customHeight="1">
      <c r="A35" s="113"/>
      <c r="B35" s="121" t="s">
        <v>294</v>
      </c>
      <c r="C35" s="126" t="s">
        <v>295</v>
      </c>
      <c r="D35" s="126" t="s">
        <v>231</v>
      </c>
      <c r="E35" s="127" t="s">
        <v>296</v>
      </c>
      <c r="F35" s="129"/>
      <c r="G35" s="125"/>
      <c r="H35" s="125"/>
      <c r="I35" s="125"/>
      <c r="J35" s="125"/>
      <c r="K35" s="125">
        <v>200000</v>
      </c>
      <c r="L35" s="196"/>
      <c r="M35" s="125"/>
      <c r="N35" s="125"/>
      <c r="O35" s="125">
        <v>200000</v>
      </c>
      <c r="P35" s="125">
        <v>200000</v>
      </c>
      <c r="Q35" s="125">
        <v>200000</v>
      </c>
    </row>
    <row r="36" spans="1:17" s="114" customFormat="1" ht="32.25" customHeight="1">
      <c r="A36" s="113"/>
      <c r="B36" s="121" t="s">
        <v>330</v>
      </c>
      <c r="C36" s="126" t="s">
        <v>331</v>
      </c>
      <c r="D36" s="126" t="s">
        <v>231</v>
      </c>
      <c r="E36" s="127" t="s">
        <v>332</v>
      </c>
      <c r="F36" s="129">
        <v>12000</v>
      </c>
      <c r="G36" s="125">
        <v>12000</v>
      </c>
      <c r="H36" s="125"/>
      <c r="I36" s="125"/>
      <c r="J36" s="125"/>
      <c r="K36" s="125"/>
      <c r="M36" s="125"/>
      <c r="N36" s="125"/>
      <c r="O36" s="125"/>
      <c r="P36" s="125"/>
      <c r="Q36" s="125">
        <v>12000</v>
      </c>
    </row>
    <row r="37" spans="1:17" s="114" customFormat="1" ht="30">
      <c r="A37" s="113"/>
      <c r="B37" s="121" t="s">
        <v>165</v>
      </c>
      <c r="C37" s="126" t="s">
        <v>39</v>
      </c>
      <c r="D37" s="126" t="s">
        <v>147</v>
      </c>
      <c r="E37" s="127" t="s">
        <v>172</v>
      </c>
      <c r="F37" s="129">
        <f>140213+52500+30000</f>
        <v>222713</v>
      </c>
      <c r="G37" s="125">
        <f>140213+52500+30000</f>
        <v>222713</v>
      </c>
      <c r="H37" s="125"/>
      <c r="I37" s="125"/>
      <c r="J37" s="125"/>
      <c r="K37" s="125"/>
      <c r="L37" s="125"/>
      <c r="M37" s="125"/>
      <c r="N37" s="125"/>
      <c r="O37" s="125"/>
      <c r="P37" s="125"/>
      <c r="Q37" s="125">
        <f t="shared" si="3"/>
        <v>222713</v>
      </c>
    </row>
    <row r="38" spans="1:17" s="114" customFormat="1" ht="30">
      <c r="A38" s="113"/>
      <c r="B38" s="121" t="s">
        <v>164</v>
      </c>
      <c r="C38" s="126" t="s">
        <v>39</v>
      </c>
      <c r="D38" s="126" t="s">
        <v>147</v>
      </c>
      <c r="E38" s="127" t="s">
        <v>172</v>
      </c>
      <c r="F38" s="129">
        <f>G38</f>
        <v>335264</v>
      </c>
      <c r="G38" s="125">
        <f>321234+6500+7530</f>
        <v>335264</v>
      </c>
      <c r="H38" s="125">
        <v>230508</v>
      </c>
      <c r="I38" s="125">
        <v>19120</v>
      </c>
      <c r="J38" s="125"/>
      <c r="K38" s="125">
        <v>11125</v>
      </c>
      <c r="L38" s="125"/>
      <c r="M38" s="125"/>
      <c r="N38" s="125"/>
      <c r="O38" s="125">
        <v>11125</v>
      </c>
      <c r="P38" s="125">
        <v>11125</v>
      </c>
      <c r="Q38" s="125">
        <f>F38+K38</f>
        <v>346389</v>
      </c>
    </row>
    <row r="39" spans="1:17" s="114" customFormat="1" ht="30">
      <c r="A39" s="113"/>
      <c r="B39" s="121" t="s">
        <v>208</v>
      </c>
      <c r="C39" s="126" t="s">
        <v>210</v>
      </c>
      <c r="D39" s="126" t="s">
        <v>211</v>
      </c>
      <c r="E39" s="127" t="s">
        <v>209</v>
      </c>
      <c r="F39" s="129">
        <v>12324.49</v>
      </c>
      <c r="G39" s="125">
        <v>12324.49</v>
      </c>
      <c r="H39" s="125">
        <v>10102.04</v>
      </c>
      <c r="I39" s="125"/>
      <c r="J39" s="125"/>
      <c r="K39" s="125"/>
      <c r="L39" s="125"/>
      <c r="M39" s="125"/>
      <c r="N39" s="125"/>
      <c r="O39" s="125"/>
      <c r="P39" s="125"/>
      <c r="Q39" s="125">
        <f>F39+K39</f>
        <v>12324.49</v>
      </c>
    </row>
    <row r="40" spans="1:17" s="114" customFormat="1" ht="15">
      <c r="A40" s="113"/>
      <c r="B40" s="121" t="s">
        <v>483</v>
      </c>
      <c r="C40" s="126" t="s">
        <v>484</v>
      </c>
      <c r="D40" s="126" t="s">
        <v>148</v>
      </c>
      <c r="E40" s="127" t="s">
        <v>149</v>
      </c>
      <c r="F40" s="129">
        <f>G40</f>
        <v>0</v>
      </c>
      <c r="G40" s="125"/>
      <c r="H40" s="125"/>
      <c r="I40" s="125"/>
      <c r="J40" s="125"/>
      <c r="K40" s="125">
        <f>55500+17708</f>
        <v>73208</v>
      </c>
      <c r="L40" s="125">
        <f>55500+17708</f>
        <v>73208</v>
      </c>
      <c r="M40" s="125"/>
      <c r="N40" s="125"/>
      <c r="O40" s="125"/>
      <c r="P40" s="125"/>
      <c r="Q40" s="125">
        <f t="shared" si="3"/>
        <v>73208</v>
      </c>
    </row>
    <row r="41" spans="1:17" s="114" customFormat="1" ht="30">
      <c r="A41" s="113"/>
      <c r="B41" s="121" t="s">
        <v>335</v>
      </c>
      <c r="C41" s="126" t="s">
        <v>336</v>
      </c>
      <c r="D41" s="126" t="s">
        <v>338</v>
      </c>
      <c r="E41" s="127" t="s">
        <v>337</v>
      </c>
      <c r="F41" s="129">
        <v>42200</v>
      </c>
      <c r="G41" s="125">
        <v>42200</v>
      </c>
      <c r="H41" s="125"/>
      <c r="I41" s="125"/>
      <c r="J41" s="125"/>
      <c r="K41" s="125"/>
      <c r="L41" s="125"/>
      <c r="M41" s="125"/>
      <c r="N41" s="125"/>
      <c r="O41" s="125"/>
      <c r="P41" s="125"/>
      <c r="Q41" s="125">
        <v>42200</v>
      </c>
    </row>
    <row r="42" spans="1:17" s="114" customFormat="1" ht="60">
      <c r="A42" s="113"/>
      <c r="B42" s="121" t="s">
        <v>212</v>
      </c>
      <c r="C42" s="126" t="s">
        <v>213</v>
      </c>
      <c r="D42" s="126" t="s">
        <v>39</v>
      </c>
      <c r="E42" s="127" t="s">
        <v>214</v>
      </c>
      <c r="F42" s="129">
        <f>G42</f>
        <v>215200</v>
      </c>
      <c r="G42" s="125">
        <f>15000+10000+35000+17700+25000+50000+10000+3000+15000+22500+12000</f>
        <v>215200</v>
      </c>
      <c r="H42" s="125"/>
      <c r="I42" s="125"/>
      <c r="J42" s="125"/>
      <c r="K42" s="125"/>
      <c r="L42" s="125"/>
      <c r="M42" s="125"/>
      <c r="N42" s="125"/>
      <c r="O42" s="125"/>
      <c r="P42" s="125"/>
      <c r="Q42" s="125">
        <f t="shared" si="3"/>
        <v>215200</v>
      </c>
    </row>
    <row r="43" spans="1:17" s="114" customFormat="1" ht="15">
      <c r="A43" s="113"/>
      <c r="B43" s="121" t="s">
        <v>485</v>
      </c>
      <c r="C43" s="126" t="s">
        <v>486</v>
      </c>
      <c r="D43" s="126" t="s">
        <v>39</v>
      </c>
      <c r="E43" s="127" t="s">
        <v>487</v>
      </c>
      <c r="F43" s="129">
        <f>G43</f>
        <v>3550003</v>
      </c>
      <c r="G43" s="129">
        <f>406599+63600+377500+39000+24000+30000+40000+7000+197200+195600+3000+3000+110000+39000+365000+199900+13000+207000-3000+403000+200000+100000+99291+3000+5200+135000+64500+118613+100000+4000</f>
        <v>3550003</v>
      </c>
      <c r="H43" s="125"/>
      <c r="I43" s="125"/>
      <c r="J43" s="125"/>
      <c r="K43" s="125"/>
      <c r="L43" s="125"/>
      <c r="M43" s="125"/>
      <c r="N43" s="125"/>
      <c r="O43" s="125"/>
      <c r="P43" s="125"/>
      <c r="Q43" s="125">
        <f t="shared" si="3"/>
        <v>3550003</v>
      </c>
    </row>
    <row r="44" spans="1:17" s="114" customFormat="1" ht="90">
      <c r="A44" s="113"/>
      <c r="B44" s="121" t="s">
        <v>179</v>
      </c>
      <c r="C44" s="126" t="s">
        <v>180</v>
      </c>
      <c r="D44" s="126" t="s">
        <v>39</v>
      </c>
      <c r="E44" s="127" t="s">
        <v>181</v>
      </c>
      <c r="F44" s="129">
        <v>450000</v>
      </c>
      <c r="G44" s="129">
        <v>450000</v>
      </c>
      <c r="H44" s="125"/>
      <c r="I44" s="125"/>
      <c r="J44" s="125"/>
      <c r="K44" s="125"/>
      <c r="L44" s="125"/>
      <c r="M44" s="125"/>
      <c r="N44" s="125"/>
      <c r="O44" s="125"/>
      <c r="P44" s="125"/>
      <c r="Q44" s="125">
        <f t="shared" si="3"/>
        <v>450000</v>
      </c>
    </row>
    <row r="45" spans="1:17" s="114" customFormat="1" ht="60">
      <c r="A45" s="113"/>
      <c r="B45" s="121" t="s">
        <v>489</v>
      </c>
      <c r="C45" s="126" t="s">
        <v>490</v>
      </c>
      <c r="D45" s="126" t="s">
        <v>39</v>
      </c>
      <c r="E45" s="127" t="s">
        <v>488</v>
      </c>
      <c r="F45" s="129">
        <v>12414900</v>
      </c>
      <c r="G45" s="129">
        <v>12414900</v>
      </c>
      <c r="H45" s="125"/>
      <c r="I45" s="125"/>
      <c r="J45" s="125"/>
      <c r="K45" s="125"/>
      <c r="L45" s="125"/>
      <c r="M45" s="125"/>
      <c r="N45" s="125"/>
      <c r="O45" s="125"/>
      <c r="P45" s="125"/>
      <c r="Q45" s="125">
        <f t="shared" si="3"/>
        <v>12414900</v>
      </c>
    </row>
    <row r="46" spans="1:17" s="114" customFormat="1" ht="15">
      <c r="A46" s="113"/>
      <c r="B46" s="121" t="s">
        <v>477</v>
      </c>
      <c r="C46" s="126" t="s">
        <v>478</v>
      </c>
      <c r="D46" s="126" t="s">
        <v>147</v>
      </c>
      <c r="E46" s="127" t="s">
        <v>151</v>
      </c>
      <c r="F46" s="129">
        <v>120000</v>
      </c>
      <c r="G46" s="125"/>
      <c r="H46" s="125"/>
      <c r="I46" s="125"/>
      <c r="J46" s="125"/>
      <c r="K46" s="125"/>
      <c r="L46" s="125"/>
      <c r="M46" s="125"/>
      <c r="N46" s="125"/>
      <c r="O46" s="125"/>
      <c r="P46" s="125"/>
      <c r="Q46" s="125">
        <f t="shared" si="3"/>
        <v>120000</v>
      </c>
    </row>
    <row r="47" spans="1:17" s="114" customFormat="1" ht="28.5">
      <c r="A47" s="113"/>
      <c r="B47" s="121" t="s">
        <v>1</v>
      </c>
      <c r="C47" s="130"/>
      <c r="D47" s="126"/>
      <c r="E47" s="131" t="s">
        <v>152</v>
      </c>
      <c r="F47" s="179">
        <f>SUM(F48)</f>
        <v>71475420</v>
      </c>
      <c r="G47" s="179">
        <f>SUM(G48)</f>
        <v>71475420</v>
      </c>
      <c r="H47" s="179">
        <f>SUM(H49:H57)</f>
        <v>48732206</v>
      </c>
      <c r="I47" s="179">
        <f>SUM(I49:I57)</f>
        <v>3129415</v>
      </c>
      <c r="J47" s="179">
        <f>SUM(J48:J57)</f>
        <v>0</v>
      </c>
      <c r="K47" s="179">
        <f>SUM(K48)</f>
        <v>6681592</v>
      </c>
      <c r="L47" s="179">
        <f>SUM(L48)</f>
        <v>1460000</v>
      </c>
      <c r="M47" s="179">
        <f>SUM(M48)</f>
        <v>70000</v>
      </c>
      <c r="N47" s="179">
        <f>SUM(N48:N57)</f>
        <v>0</v>
      </c>
      <c r="O47" s="179">
        <f>SUM(O48:O57)</f>
        <v>9443184</v>
      </c>
      <c r="P47" s="179">
        <f>SUM(P48:P57)</f>
        <v>9443184</v>
      </c>
      <c r="Q47" s="179">
        <f>SUM(Q48)</f>
        <v>78157012</v>
      </c>
    </row>
    <row r="48" spans="1:17" s="114" customFormat="1" ht="28.5">
      <c r="A48" s="113"/>
      <c r="B48" s="121" t="s">
        <v>2</v>
      </c>
      <c r="C48" s="130"/>
      <c r="D48" s="126"/>
      <c r="E48" s="131" t="s">
        <v>152</v>
      </c>
      <c r="F48" s="179">
        <f>SUM(F49:F60)</f>
        <v>71475420</v>
      </c>
      <c r="G48" s="179">
        <f aca="true" t="shared" si="4" ref="G48:P48">SUM(G49:G60)</f>
        <v>71475420</v>
      </c>
      <c r="H48" s="179">
        <f t="shared" si="4"/>
        <v>48732206</v>
      </c>
      <c r="I48" s="179">
        <f t="shared" si="4"/>
        <v>3129415</v>
      </c>
      <c r="J48" s="179">
        <f t="shared" si="4"/>
        <v>0</v>
      </c>
      <c r="K48" s="179">
        <f t="shared" si="4"/>
        <v>6681592</v>
      </c>
      <c r="L48" s="179">
        <f t="shared" si="4"/>
        <v>1460000</v>
      </c>
      <c r="M48" s="179">
        <f t="shared" si="4"/>
        <v>70000</v>
      </c>
      <c r="N48" s="179">
        <f t="shared" si="4"/>
        <v>0</v>
      </c>
      <c r="O48" s="179">
        <f t="shared" si="4"/>
        <v>5221592</v>
      </c>
      <c r="P48" s="179">
        <f t="shared" si="4"/>
        <v>5221592</v>
      </c>
      <c r="Q48" s="179">
        <f>SUM(Q49:Q60)</f>
        <v>78157012</v>
      </c>
    </row>
    <row r="49" spans="1:17" s="114" customFormat="1" ht="15">
      <c r="A49" s="113"/>
      <c r="B49" s="121" t="s">
        <v>3</v>
      </c>
      <c r="C49" s="130">
        <v>1010</v>
      </c>
      <c r="D49" s="126" t="s">
        <v>40</v>
      </c>
      <c r="E49" s="127" t="s">
        <v>491</v>
      </c>
      <c r="F49" s="129">
        <f>G49</f>
        <v>15706479</v>
      </c>
      <c r="G49" s="129">
        <f>15341201+138200+30405+112860+2600+40000+2290+40000+6853-7930</f>
        <v>15706479</v>
      </c>
      <c r="H49" s="129">
        <f>9984477+138200</f>
        <v>10122677</v>
      </c>
      <c r="I49" s="129">
        <v>742768</v>
      </c>
      <c r="J49" s="129"/>
      <c r="K49" s="129">
        <f>840000+118535+50000+11450+28610+29046+19436+7930</f>
        <v>1105007</v>
      </c>
      <c r="L49" s="129">
        <v>840000</v>
      </c>
      <c r="M49" s="129">
        <v>25000</v>
      </c>
      <c r="N49" s="129"/>
      <c r="O49" s="129">
        <f>118535+50000+11450+28610+29046+19436+7930</f>
        <v>265007</v>
      </c>
      <c r="P49" s="129">
        <f>118535+50000+11450+28610+29046+19436+7930</f>
        <v>265007</v>
      </c>
      <c r="Q49" s="125">
        <f t="shared" si="3"/>
        <v>16811486</v>
      </c>
    </row>
    <row r="50" spans="1:17" s="114" customFormat="1" ht="90">
      <c r="A50" s="113"/>
      <c r="B50" s="121" t="s">
        <v>4</v>
      </c>
      <c r="C50" s="130">
        <v>1020</v>
      </c>
      <c r="D50" s="126" t="s">
        <v>41</v>
      </c>
      <c r="E50" s="127" t="s">
        <v>153</v>
      </c>
      <c r="F50" s="129">
        <f aca="true" t="shared" si="5" ref="F50:F66">G50</f>
        <v>49142794</v>
      </c>
      <c r="G50" s="129">
        <f>47400999+6531+20000+24976+1610+354+58600+2700+71600+3000+21220+80000+23740+52745+200000+179104-6270+33081+583833+83500+37438+27531+12310+9544+89171+50000+17000+44410+12490+5+1572</f>
        <v>49142794</v>
      </c>
      <c r="H50" s="129">
        <f>33968762+1610+58690+2460+2861</f>
        <v>34034383</v>
      </c>
      <c r="I50" s="129">
        <f>2258159+6531</f>
        <v>2264690</v>
      </c>
      <c r="J50" s="129"/>
      <c r="K50" s="129">
        <f>620000+119000+4850+20000+184850+300000+1188565+510000+23649+63800+110000+6270+12464+26013+19285+8326+9169+93100+977000</f>
        <v>4296341</v>
      </c>
      <c r="L50" s="129">
        <v>620000</v>
      </c>
      <c r="M50" s="129">
        <v>45000</v>
      </c>
      <c r="N50" s="129"/>
      <c r="O50" s="129">
        <f>119000+4850+20000+184850+300000+1188565+510000+23649+63800+110000+6270+12464+26013+19285+8326+9169+93100+977000</f>
        <v>3676341</v>
      </c>
      <c r="P50" s="129">
        <f>119000+4850+20000+184850+300000+1188565+510000+23649+63800+110000+6270+12464+26013+19285+8326+9169+93100+977000</f>
        <v>3676341</v>
      </c>
      <c r="Q50" s="125">
        <f t="shared" si="3"/>
        <v>53439135</v>
      </c>
    </row>
    <row r="51" spans="1:17" s="114" customFormat="1" ht="60">
      <c r="A51" s="113"/>
      <c r="B51" s="121" t="s">
        <v>5</v>
      </c>
      <c r="C51" s="130">
        <v>1090</v>
      </c>
      <c r="D51" s="126" t="s">
        <v>42</v>
      </c>
      <c r="E51" s="127" t="s">
        <v>154</v>
      </c>
      <c r="F51" s="129">
        <f t="shared" si="5"/>
        <v>2725724</v>
      </c>
      <c r="G51" s="129">
        <f>2535724+50000+140000</f>
        <v>2725724</v>
      </c>
      <c r="H51" s="129">
        <f>1981449+60000</f>
        <v>2041449</v>
      </c>
      <c r="I51" s="129">
        <v>51556</v>
      </c>
      <c r="J51" s="129"/>
      <c r="K51" s="129"/>
      <c r="L51" s="129"/>
      <c r="M51" s="129"/>
      <c r="N51" s="129"/>
      <c r="O51" s="129"/>
      <c r="P51" s="129"/>
      <c r="Q51" s="125">
        <f t="shared" si="3"/>
        <v>2725724</v>
      </c>
    </row>
    <row r="52" spans="1:17" s="114" customFormat="1" ht="30">
      <c r="A52" s="113"/>
      <c r="B52" s="121" t="s">
        <v>182</v>
      </c>
      <c r="C52" s="130">
        <v>1161</v>
      </c>
      <c r="D52" s="126" t="s">
        <v>43</v>
      </c>
      <c r="E52" s="127" t="s">
        <v>183</v>
      </c>
      <c r="F52" s="129">
        <f t="shared" si="5"/>
        <v>2492585</v>
      </c>
      <c r="G52" s="129">
        <f>2317605-6531+50000+17900+113611</f>
        <v>2492585</v>
      </c>
      <c r="H52" s="129">
        <f>1824132</f>
        <v>1824132</v>
      </c>
      <c r="I52" s="129">
        <f>56531-6531</f>
        <v>50000</v>
      </c>
      <c r="J52" s="129"/>
      <c r="K52" s="129">
        <f>6600+126000</f>
        <v>132600</v>
      </c>
      <c r="L52" s="129"/>
      <c r="M52" s="129"/>
      <c r="N52" s="129"/>
      <c r="O52" s="129">
        <f>6600+126000</f>
        <v>132600</v>
      </c>
      <c r="P52" s="129">
        <f>6600+126000</f>
        <v>132600</v>
      </c>
      <c r="Q52" s="125">
        <f t="shared" si="3"/>
        <v>2625185</v>
      </c>
    </row>
    <row r="53" spans="1:17" s="114" customFormat="1" ht="60">
      <c r="A53" s="113"/>
      <c r="B53" s="121" t="s">
        <v>362</v>
      </c>
      <c r="C53" s="130">
        <v>1170</v>
      </c>
      <c r="D53" s="126"/>
      <c r="E53" s="127" t="s">
        <v>363</v>
      </c>
      <c r="F53" s="129">
        <v>12670</v>
      </c>
      <c r="G53" s="129">
        <v>12670</v>
      </c>
      <c r="H53" s="129"/>
      <c r="I53" s="129"/>
      <c r="J53" s="129"/>
      <c r="K53" s="129"/>
      <c r="L53" s="129"/>
      <c r="M53" s="129"/>
      <c r="N53" s="129"/>
      <c r="O53" s="129"/>
      <c r="P53" s="129"/>
      <c r="Q53" s="125">
        <v>12670</v>
      </c>
    </row>
    <row r="54" spans="1:17" s="114" customFormat="1" ht="60">
      <c r="A54" s="113"/>
      <c r="B54" s="121" t="s">
        <v>184</v>
      </c>
      <c r="C54" s="130">
        <v>3131</v>
      </c>
      <c r="D54" s="126" t="s">
        <v>142</v>
      </c>
      <c r="E54" s="127" t="s">
        <v>189</v>
      </c>
      <c r="F54" s="129">
        <f t="shared" si="5"/>
        <v>100000</v>
      </c>
      <c r="G54" s="129">
        <f>10000+90000</f>
        <v>100000</v>
      </c>
      <c r="H54" s="129"/>
      <c r="I54" s="129"/>
      <c r="J54" s="129"/>
      <c r="K54" s="129"/>
      <c r="L54" s="129"/>
      <c r="M54" s="129"/>
      <c r="N54" s="129"/>
      <c r="O54" s="129"/>
      <c r="P54" s="129"/>
      <c r="Q54" s="125">
        <f t="shared" si="3"/>
        <v>100000</v>
      </c>
    </row>
    <row r="55" spans="1:17" s="114" customFormat="1" ht="90">
      <c r="A55" s="113"/>
      <c r="B55" s="121" t="s">
        <v>306</v>
      </c>
      <c r="C55" s="130">
        <v>3140</v>
      </c>
      <c r="D55" s="126" t="s">
        <v>307</v>
      </c>
      <c r="E55" s="127" t="s">
        <v>308</v>
      </c>
      <c r="F55" s="129">
        <f>225000+7700</f>
        <v>232700</v>
      </c>
      <c r="G55" s="129">
        <f>225000+7700</f>
        <v>232700</v>
      </c>
      <c r="H55" s="129"/>
      <c r="I55" s="129"/>
      <c r="J55" s="129"/>
      <c r="K55" s="129"/>
      <c r="L55" s="129"/>
      <c r="M55" s="129"/>
      <c r="N55" s="129"/>
      <c r="O55" s="129"/>
      <c r="P55" s="129"/>
      <c r="Q55" s="125">
        <f>225000+7700</f>
        <v>232700</v>
      </c>
    </row>
    <row r="56" spans="1:17" s="114" customFormat="1" ht="45">
      <c r="A56" s="113"/>
      <c r="B56" s="121" t="s">
        <v>6</v>
      </c>
      <c r="C56" s="130">
        <v>5031</v>
      </c>
      <c r="D56" s="126" t="s">
        <v>44</v>
      </c>
      <c r="E56" s="127" t="s">
        <v>155</v>
      </c>
      <c r="F56" s="129">
        <f t="shared" si="5"/>
        <v>940468</v>
      </c>
      <c r="G56" s="129">
        <f>939921+547</f>
        <v>940468</v>
      </c>
      <c r="H56" s="129">
        <v>709565</v>
      </c>
      <c r="I56" s="129">
        <v>20401</v>
      </c>
      <c r="J56" s="129"/>
      <c r="K56" s="129">
        <f>8500+116385+12759+10000</f>
        <v>147644</v>
      </c>
      <c r="L56" s="129"/>
      <c r="M56" s="129"/>
      <c r="N56" s="129"/>
      <c r="O56" s="129">
        <f>8500+116385+12759+10000</f>
        <v>147644</v>
      </c>
      <c r="P56" s="129">
        <f>8500+116385+12759+10000</f>
        <v>147644</v>
      </c>
      <c r="Q56" s="125">
        <f t="shared" si="3"/>
        <v>1088112</v>
      </c>
    </row>
    <row r="57" spans="1:17" s="114" customFormat="1" ht="45">
      <c r="A57" s="113"/>
      <c r="B57" s="121" t="s">
        <v>7</v>
      </c>
      <c r="C57" s="130">
        <v>5011</v>
      </c>
      <c r="D57" s="126" t="s">
        <v>44</v>
      </c>
      <c r="E57" s="127" t="s">
        <v>391</v>
      </c>
      <c r="F57" s="129">
        <f t="shared" si="5"/>
        <v>89000</v>
      </c>
      <c r="G57" s="125">
        <v>89000</v>
      </c>
      <c r="H57" s="125"/>
      <c r="I57" s="125"/>
      <c r="J57" s="125"/>
      <c r="K57" s="125"/>
      <c r="L57" s="125"/>
      <c r="M57" s="125"/>
      <c r="N57" s="125"/>
      <c r="O57" s="125"/>
      <c r="P57" s="125"/>
      <c r="Q57" s="125">
        <f t="shared" si="3"/>
        <v>89000</v>
      </c>
    </row>
    <row r="58" spans="1:17" s="114" customFormat="1" ht="45">
      <c r="A58" s="113"/>
      <c r="B58" s="121" t="s">
        <v>8</v>
      </c>
      <c r="C58" s="130">
        <v>5012</v>
      </c>
      <c r="D58" s="126" t="s">
        <v>44</v>
      </c>
      <c r="E58" s="127" t="s">
        <v>51</v>
      </c>
      <c r="F58" s="129">
        <f t="shared" si="5"/>
        <v>13000</v>
      </c>
      <c r="G58" s="125">
        <v>13000</v>
      </c>
      <c r="H58" s="125"/>
      <c r="I58" s="125"/>
      <c r="J58" s="125"/>
      <c r="K58" s="125"/>
      <c r="L58" s="125"/>
      <c r="M58" s="125"/>
      <c r="N58" s="125"/>
      <c r="O58" s="125"/>
      <c r="P58" s="125"/>
      <c r="Q58" s="125">
        <f>F58+K58</f>
        <v>13000</v>
      </c>
    </row>
    <row r="59" spans="1:17" s="114" customFormat="1" ht="90">
      <c r="A59" s="113"/>
      <c r="B59" s="121" t="s">
        <v>310</v>
      </c>
      <c r="C59" s="130">
        <v>5051</v>
      </c>
      <c r="D59" s="126" t="s">
        <v>44</v>
      </c>
      <c r="E59" s="127" t="s">
        <v>311</v>
      </c>
      <c r="F59" s="129">
        <v>20000</v>
      </c>
      <c r="G59" s="125">
        <v>20000</v>
      </c>
      <c r="H59" s="125"/>
      <c r="I59" s="125"/>
      <c r="J59" s="125"/>
      <c r="K59" s="125"/>
      <c r="L59" s="125"/>
      <c r="M59" s="125"/>
      <c r="N59" s="125"/>
      <c r="O59" s="125"/>
      <c r="P59" s="125"/>
      <c r="Q59" s="125">
        <v>20000</v>
      </c>
    </row>
    <row r="60" spans="1:17" s="114" customFormat="1" ht="60">
      <c r="A60" s="113"/>
      <c r="B60" s="121" t="s">
        <v>267</v>
      </c>
      <c r="C60" s="126" t="s">
        <v>287</v>
      </c>
      <c r="D60" s="126" t="s">
        <v>231</v>
      </c>
      <c r="E60" s="127" t="s">
        <v>266</v>
      </c>
      <c r="F60" s="129"/>
      <c r="G60" s="125"/>
      <c r="H60" s="125"/>
      <c r="I60" s="125"/>
      <c r="J60" s="125"/>
      <c r="K60" s="125">
        <v>1000000</v>
      </c>
      <c r="L60" s="125"/>
      <c r="M60" s="125"/>
      <c r="N60" s="125"/>
      <c r="O60" s="125">
        <v>1000000</v>
      </c>
      <c r="P60" s="125">
        <v>1000000</v>
      </c>
      <c r="Q60" s="125">
        <v>1000000</v>
      </c>
    </row>
    <row r="61" spans="1:17" s="114" customFormat="1" ht="42.75">
      <c r="A61" s="113"/>
      <c r="B61" s="128">
        <v>1000000</v>
      </c>
      <c r="C61" s="130"/>
      <c r="D61" s="126"/>
      <c r="E61" s="131" t="s">
        <v>392</v>
      </c>
      <c r="F61" s="129">
        <f t="shared" si="5"/>
        <v>7501650</v>
      </c>
      <c r="G61" s="125">
        <f aca="true" t="shared" si="6" ref="G61:Q61">SUM(G63:G66)</f>
        <v>7501650</v>
      </c>
      <c r="H61" s="125">
        <f t="shared" si="6"/>
        <v>5123913</v>
      </c>
      <c r="I61" s="125">
        <f t="shared" si="6"/>
        <v>327206</v>
      </c>
      <c r="J61" s="125">
        <f t="shared" si="6"/>
        <v>0</v>
      </c>
      <c r="K61" s="125">
        <f t="shared" si="6"/>
        <v>507727</v>
      </c>
      <c r="L61" s="125">
        <f t="shared" si="6"/>
        <v>242510</v>
      </c>
      <c r="M61" s="125">
        <f t="shared" si="6"/>
        <v>137700</v>
      </c>
      <c r="N61" s="125">
        <f t="shared" si="6"/>
        <v>0</v>
      </c>
      <c r="O61" s="125">
        <f t="shared" si="6"/>
        <v>265217</v>
      </c>
      <c r="P61" s="125">
        <f t="shared" si="6"/>
        <v>265217</v>
      </c>
      <c r="Q61" s="125">
        <f t="shared" si="6"/>
        <v>8009377</v>
      </c>
    </row>
    <row r="62" spans="1:17" s="114" customFormat="1" ht="42.75">
      <c r="A62" s="113"/>
      <c r="B62" s="128">
        <v>1010000</v>
      </c>
      <c r="C62" s="130"/>
      <c r="D62" s="126"/>
      <c r="E62" s="131" t="s">
        <v>392</v>
      </c>
      <c r="F62" s="129">
        <f t="shared" si="5"/>
        <v>7501650</v>
      </c>
      <c r="G62" s="125">
        <f aca="true" t="shared" si="7" ref="G62:Q62">SUM(G63:G66)</f>
        <v>7501650</v>
      </c>
      <c r="H62" s="125">
        <f t="shared" si="7"/>
        <v>5123913</v>
      </c>
      <c r="I62" s="125">
        <f t="shared" si="7"/>
        <v>327206</v>
      </c>
      <c r="J62" s="125">
        <f t="shared" si="7"/>
        <v>0</v>
      </c>
      <c r="K62" s="125">
        <f t="shared" si="7"/>
        <v>507727</v>
      </c>
      <c r="L62" s="125">
        <f t="shared" si="7"/>
        <v>242510</v>
      </c>
      <c r="M62" s="125">
        <f t="shared" si="7"/>
        <v>137700</v>
      </c>
      <c r="N62" s="125">
        <f t="shared" si="7"/>
        <v>0</v>
      </c>
      <c r="O62" s="125">
        <f t="shared" si="7"/>
        <v>265217</v>
      </c>
      <c r="P62" s="125">
        <f t="shared" si="7"/>
        <v>265217</v>
      </c>
      <c r="Q62" s="125">
        <f t="shared" si="7"/>
        <v>8009377</v>
      </c>
    </row>
    <row r="63" spans="1:17" s="114" customFormat="1" ht="33" customHeight="1">
      <c r="A63" s="113"/>
      <c r="B63" s="128">
        <v>1014081</v>
      </c>
      <c r="C63" s="130">
        <v>4081</v>
      </c>
      <c r="D63" s="126" t="s">
        <v>45</v>
      </c>
      <c r="E63" s="127" t="s">
        <v>173</v>
      </c>
      <c r="F63" s="129">
        <f t="shared" si="5"/>
        <v>261951</v>
      </c>
      <c r="G63" s="129">
        <f>261951</f>
        <v>261951</v>
      </c>
      <c r="H63" s="129">
        <v>199611</v>
      </c>
      <c r="I63" s="129"/>
      <c r="J63" s="129"/>
      <c r="K63" s="129"/>
      <c r="L63" s="129"/>
      <c r="M63" s="129"/>
      <c r="N63" s="129"/>
      <c r="O63" s="129"/>
      <c r="P63" s="125"/>
      <c r="Q63" s="125">
        <f t="shared" si="3"/>
        <v>261951</v>
      </c>
    </row>
    <row r="64" spans="1:17" s="114" customFormat="1" ht="15">
      <c r="A64" s="113"/>
      <c r="B64" s="128">
        <v>1014030</v>
      </c>
      <c r="C64" s="130">
        <v>4030</v>
      </c>
      <c r="D64" s="126" t="s">
        <v>46</v>
      </c>
      <c r="E64" s="127" t="s">
        <v>492</v>
      </c>
      <c r="F64" s="129">
        <f t="shared" si="5"/>
        <v>2005927</v>
      </c>
      <c r="G64" s="129">
        <f>1978073+24874+2980</f>
        <v>2005927</v>
      </c>
      <c r="H64" s="129">
        <v>1378758</v>
      </c>
      <c r="I64" s="129">
        <v>123786</v>
      </c>
      <c r="J64" s="129"/>
      <c r="K64" s="129">
        <f>8400+4500</f>
        <v>12900</v>
      </c>
      <c r="L64" s="129">
        <v>8400</v>
      </c>
      <c r="M64" s="129"/>
      <c r="N64" s="129"/>
      <c r="O64" s="129">
        <f>4500</f>
        <v>4500</v>
      </c>
      <c r="P64" s="125">
        <f>4500</f>
        <v>4500</v>
      </c>
      <c r="Q64" s="125">
        <f t="shared" si="3"/>
        <v>2018827</v>
      </c>
    </row>
    <row r="65" spans="1:17" s="114" customFormat="1" ht="45">
      <c r="A65" s="113"/>
      <c r="B65" s="128">
        <v>1014060</v>
      </c>
      <c r="C65" s="130">
        <v>4060</v>
      </c>
      <c r="D65" s="126" t="s">
        <v>47</v>
      </c>
      <c r="E65" s="127" t="s">
        <v>493</v>
      </c>
      <c r="F65" s="129">
        <f t="shared" si="5"/>
        <v>3229810</v>
      </c>
      <c r="G65" s="129">
        <f>2606146+20000+3630+2413+54681+3470+52735+191570+8356+115000+110194+40064+21551</f>
        <v>3229810</v>
      </c>
      <c r="H65" s="129">
        <f>1992725+32840</f>
        <v>2025565</v>
      </c>
      <c r="I65" s="129">
        <v>97167</v>
      </c>
      <c r="J65" s="129"/>
      <c r="K65" s="129">
        <f>44500+78150+4200+178367</f>
        <v>305217</v>
      </c>
      <c r="L65" s="129">
        <v>44500</v>
      </c>
      <c r="M65" s="129"/>
      <c r="N65" s="129"/>
      <c r="O65" s="129">
        <f>78150+4200+178367</f>
        <v>260717</v>
      </c>
      <c r="P65" s="125">
        <f>78150+4200+178367</f>
        <v>260717</v>
      </c>
      <c r="Q65" s="125">
        <f t="shared" si="3"/>
        <v>3535027</v>
      </c>
    </row>
    <row r="66" spans="1:17" s="114" customFormat="1" ht="75">
      <c r="A66" s="113"/>
      <c r="B66" s="128">
        <v>1011100</v>
      </c>
      <c r="C66" s="130">
        <v>1100</v>
      </c>
      <c r="D66" s="126" t="s">
        <v>42</v>
      </c>
      <c r="E66" s="127" t="s">
        <v>0</v>
      </c>
      <c r="F66" s="129">
        <f t="shared" si="5"/>
        <v>2003962</v>
      </c>
      <c r="G66" s="129">
        <f>1973578+9572+4675+13227+2910</f>
        <v>2003962</v>
      </c>
      <c r="H66" s="129">
        <f>1506752+13227</f>
        <v>1519979</v>
      </c>
      <c r="I66" s="129">
        <v>106253</v>
      </c>
      <c r="J66" s="129"/>
      <c r="K66" s="129">
        <f>189610</f>
        <v>189610</v>
      </c>
      <c r="L66" s="129">
        <v>189610</v>
      </c>
      <c r="M66" s="129">
        <v>137700</v>
      </c>
      <c r="N66" s="129"/>
      <c r="O66" s="129"/>
      <c r="P66" s="125"/>
      <c r="Q66" s="125">
        <f t="shared" si="3"/>
        <v>2193572</v>
      </c>
    </row>
    <row r="67" spans="1:17" s="114" customFormat="1" ht="33.75" customHeight="1">
      <c r="A67" s="113"/>
      <c r="B67" s="130"/>
      <c r="C67" s="130"/>
      <c r="D67" s="126"/>
      <c r="E67" s="122" t="s">
        <v>108</v>
      </c>
      <c r="F67" s="160">
        <f aca="true" t="shared" si="8" ref="F67:P67">F11+F62+F48</f>
        <v>128779615.4</v>
      </c>
      <c r="G67" s="160">
        <f t="shared" si="8"/>
        <v>128659615.4</v>
      </c>
      <c r="H67" s="160">
        <f t="shared" si="8"/>
        <v>70681317</v>
      </c>
      <c r="I67" s="160">
        <f t="shared" si="8"/>
        <v>4289882</v>
      </c>
      <c r="J67" s="160">
        <f t="shared" si="8"/>
        <v>0</v>
      </c>
      <c r="K67" s="160">
        <f t="shared" si="8"/>
        <v>24978588.14</v>
      </c>
      <c r="L67" s="160">
        <f t="shared" si="8"/>
        <v>1925718</v>
      </c>
      <c r="M67" s="160">
        <f t="shared" si="8"/>
        <v>207700</v>
      </c>
      <c r="N67" s="160">
        <f t="shared" si="8"/>
        <v>18207</v>
      </c>
      <c r="O67" s="160">
        <f t="shared" si="8"/>
        <v>23052870.14</v>
      </c>
      <c r="P67" s="160">
        <f t="shared" si="8"/>
        <v>23052870.14</v>
      </c>
      <c r="Q67" s="178">
        <f t="shared" si="3"/>
        <v>153758203.54000002</v>
      </c>
    </row>
    <row r="68" spans="1:17" s="114" customFormat="1" ht="12.75">
      <c r="A68" s="113"/>
      <c r="B68" s="132"/>
      <c r="C68" s="132"/>
      <c r="D68" s="132"/>
      <c r="E68" s="113"/>
      <c r="F68" s="113"/>
      <c r="G68" s="113"/>
      <c r="H68" s="113"/>
      <c r="I68" s="113"/>
      <c r="J68" s="113"/>
      <c r="K68" s="113"/>
      <c r="L68" s="113"/>
      <c r="M68" s="113"/>
      <c r="N68" s="113"/>
      <c r="O68" s="113"/>
      <c r="P68" s="113"/>
      <c r="Q68" s="113"/>
    </row>
    <row r="69" spans="1:17" s="114" customFormat="1" ht="23.25" customHeight="1">
      <c r="A69" s="113"/>
      <c r="B69" s="223" t="s">
        <v>290</v>
      </c>
      <c r="C69" s="223"/>
      <c r="D69" s="223"/>
      <c r="E69" s="223"/>
      <c r="F69" s="223"/>
      <c r="G69" s="223"/>
      <c r="H69" s="223"/>
      <c r="I69" s="223"/>
      <c r="J69" s="223"/>
      <c r="K69" s="223"/>
      <c r="L69" s="223"/>
      <c r="M69" s="223"/>
      <c r="N69" s="223"/>
      <c r="O69" s="223"/>
      <c r="P69" s="223"/>
      <c r="Q69" s="223"/>
    </row>
    <row r="70" spans="1:18" s="114" customFormat="1" ht="23.25" customHeight="1">
      <c r="A70" s="113"/>
      <c r="B70" s="222"/>
      <c r="C70" s="222"/>
      <c r="D70" s="222"/>
      <c r="E70" s="222"/>
      <c r="F70" s="222"/>
      <c r="G70" s="222"/>
      <c r="H70" s="222"/>
      <c r="I70" s="222"/>
      <c r="J70" s="222"/>
      <c r="K70" s="222"/>
      <c r="L70" s="222"/>
      <c r="M70" s="222"/>
      <c r="N70" s="222"/>
      <c r="O70" s="222"/>
      <c r="P70" s="222"/>
      <c r="Q70" s="222"/>
      <c r="R70" s="222"/>
    </row>
    <row r="71" spans="1:18" s="114" customFormat="1" ht="24" customHeight="1">
      <c r="A71" s="113"/>
      <c r="B71" s="168"/>
      <c r="C71" s="168"/>
      <c r="D71" s="168"/>
      <c r="E71" s="168"/>
      <c r="F71" s="169">
        <f>F67-'дод.1'!D102-'дод.2'!D29+'дод.4'!F12-'дод.4'!J12</f>
        <v>-3.725290298461914E-09</v>
      </c>
      <c r="G71" s="168"/>
      <c r="H71" s="168"/>
      <c r="I71" s="168"/>
      <c r="J71" s="168"/>
      <c r="K71" s="180">
        <f>+K67-'дод.1'!E102-'дод.2'!E29+'дод.4'!G12-'дод.4'!K12</f>
        <v>0</v>
      </c>
      <c r="L71" s="168"/>
      <c r="M71" s="168"/>
      <c r="N71" s="168"/>
      <c r="O71" s="168"/>
      <c r="P71" s="168"/>
      <c r="Q71" s="169">
        <f>+Q67-'дод.1'!C102-'дод.2'!C29-'дод.4'!G12+'дод.4'!Q12</f>
        <v>1.1175870895385742E-08</v>
      </c>
      <c r="R71" s="169"/>
    </row>
    <row r="72" spans="1:17" s="114" customFormat="1" ht="27.75" customHeight="1">
      <c r="A72" s="113"/>
      <c r="B72" s="222"/>
      <c r="C72" s="222"/>
      <c r="D72" s="222"/>
      <c r="E72" s="222"/>
      <c r="F72" s="222"/>
      <c r="G72" s="222"/>
      <c r="H72" s="222"/>
      <c r="I72" s="222"/>
      <c r="J72" s="222"/>
      <c r="K72" s="222"/>
      <c r="L72" s="222"/>
      <c r="M72" s="222"/>
      <c r="N72" s="222"/>
      <c r="O72" s="222"/>
      <c r="P72" s="222"/>
      <c r="Q72" s="222"/>
    </row>
    <row r="73" spans="6:7" ht="12.75">
      <c r="F73" s="159"/>
      <c r="G73" s="159"/>
    </row>
    <row r="74" spans="11:17" ht="12.75">
      <c r="K74" s="159"/>
      <c r="O74" s="159"/>
      <c r="Q74" s="159"/>
    </row>
    <row r="90" spans="6:17" ht="12.75">
      <c r="F90" s="154"/>
      <c r="G90" s="155"/>
      <c r="H90" s="156"/>
      <c r="I90" s="157"/>
      <c r="J90" s="157"/>
      <c r="K90" s="158"/>
      <c r="L90" s="157"/>
      <c r="M90" s="157"/>
      <c r="N90" s="157"/>
      <c r="O90" s="157"/>
      <c r="P90" s="157"/>
      <c r="Q90" s="154"/>
    </row>
  </sheetData>
  <sheetProtection/>
  <mergeCells count="26">
    <mergeCell ref="K5:P5"/>
    <mergeCell ref="B3:Q3"/>
    <mergeCell ref="H6:I6"/>
    <mergeCell ref="Q5:Q8"/>
    <mergeCell ref="H7:H8"/>
    <mergeCell ref="I7:I8"/>
    <mergeCell ref="C5:C8"/>
    <mergeCell ref="K6:K8"/>
    <mergeCell ref="B5:B8"/>
    <mergeCell ref="O6:O8"/>
    <mergeCell ref="B1:Q1"/>
    <mergeCell ref="M6:N6"/>
    <mergeCell ref="F5:J5"/>
    <mergeCell ref="J6:J8"/>
    <mergeCell ref="N2:R2"/>
    <mergeCell ref="M7:M8"/>
    <mergeCell ref="D5:D8"/>
    <mergeCell ref="E5:E8"/>
    <mergeCell ref="F6:F8"/>
    <mergeCell ref="N7:N8"/>
    <mergeCell ref="P7:P8"/>
    <mergeCell ref="G6:G8"/>
    <mergeCell ref="L6:L8"/>
    <mergeCell ref="B72:Q72"/>
    <mergeCell ref="B70:R70"/>
    <mergeCell ref="B69:Q69"/>
  </mergeCells>
  <printOptions horizontalCentered="1"/>
  <pageMargins left="0.3937007874015748" right="0.3937007874015748" top="0.48" bottom="0.38" header="0.43" footer="0.31496062992125984"/>
  <pageSetup fitToHeight="2" horizontalDpi="300" verticalDpi="300" orientation="landscape" paperSize="9" scale="57" r:id="rId1"/>
  <headerFooter alignWithMargins="0">
    <oddFooter>&amp;R&amp;P</oddFooter>
  </headerFooter>
  <rowBreaks count="2" manualBreakCount="2">
    <brk id="21" max="17" man="1"/>
    <brk id="39" max="17" man="1"/>
  </rowBreaks>
</worksheet>
</file>

<file path=xl/worksheets/sheet4.xml><?xml version="1.0" encoding="utf-8"?>
<worksheet xmlns="http://schemas.openxmlformats.org/spreadsheetml/2006/main" xmlns:r="http://schemas.openxmlformats.org/officeDocument/2006/relationships">
  <dimension ref="A2:U17"/>
  <sheetViews>
    <sheetView showGridLines="0" showZeros="0" view="pageBreakPreview" zoomScaleNormal="110" zoomScaleSheetLayoutView="100" zoomScalePageLayoutView="0" workbookViewId="0" topLeftCell="B1">
      <selection activeCell="E3" sqref="E3:M4"/>
    </sheetView>
  </sheetViews>
  <sheetFormatPr defaultColWidth="9.16015625" defaultRowHeight="12.75"/>
  <cols>
    <col min="1" max="1" width="0" style="2" hidden="1" customWidth="1"/>
    <col min="2" max="3" width="12" style="31" customWidth="1"/>
    <col min="4" max="4" width="11.83203125" style="31" customWidth="1"/>
    <col min="5" max="5" width="41" style="31" customWidth="1"/>
    <col min="6" max="6" width="12.33203125" style="31" customWidth="1"/>
    <col min="7" max="9" width="12.66015625" style="31" customWidth="1"/>
    <col min="10" max="10" width="14.16015625" style="31" customWidth="1"/>
    <col min="11" max="13" width="13" style="31" customWidth="1"/>
    <col min="14" max="14" width="13.33203125" style="31" customWidth="1"/>
    <col min="15" max="17" width="13.16015625" style="31" customWidth="1"/>
    <col min="18" max="16384" width="9.16015625" style="31" customWidth="1"/>
  </cols>
  <sheetData>
    <row r="2" spans="2:17" ht="64.5" customHeight="1">
      <c r="B2" s="2"/>
      <c r="C2" s="2"/>
      <c r="D2" s="2"/>
      <c r="E2" s="30"/>
      <c r="F2" s="30"/>
      <c r="G2" s="30"/>
      <c r="H2" s="30"/>
      <c r="I2" s="30"/>
      <c r="J2" s="30"/>
      <c r="K2" s="30"/>
      <c r="L2" s="30"/>
      <c r="M2" s="217" t="s">
        <v>113</v>
      </c>
      <c r="N2" s="217"/>
      <c r="O2" s="217"/>
      <c r="P2" s="217"/>
      <c r="Q2" s="217"/>
    </row>
    <row r="3" spans="2:17" ht="32.25" customHeight="1">
      <c r="B3" s="2"/>
      <c r="C3" s="2"/>
      <c r="D3" s="2"/>
      <c r="E3" s="209" t="s">
        <v>157</v>
      </c>
      <c r="F3" s="209"/>
      <c r="G3" s="209"/>
      <c r="H3" s="209"/>
      <c r="I3" s="209"/>
      <c r="J3" s="209"/>
      <c r="K3" s="209"/>
      <c r="L3" s="209"/>
      <c r="M3" s="209"/>
      <c r="N3" s="1"/>
      <c r="O3" s="1"/>
      <c r="P3" s="1"/>
      <c r="Q3" s="1"/>
    </row>
    <row r="4" spans="2:21" ht="48.75" customHeight="1">
      <c r="B4" s="3"/>
      <c r="C4" s="3"/>
      <c r="D4" s="32"/>
      <c r="E4" s="209"/>
      <c r="F4" s="209"/>
      <c r="G4" s="209"/>
      <c r="H4" s="209"/>
      <c r="I4" s="209"/>
      <c r="J4" s="209"/>
      <c r="K4" s="209"/>
      <c r="L4" s="209"/>
      <c r="M4" s="209"/>
      <c r="N4" s="2"/>
      <c r="O4" s="2"/>
      <c r="P4" s="2"/>
      <c r="Q4" s="33"/>
      <c r="R4" s="30"/>
      <c r="S4" s="30"/>
      <c r="T4" s="30"/>
      <c r="U4" s="30"/>
    </row>
    <row r="5" spans="2:21" ht="15.75" customHeight="1">
      <c r="B5" s="3"/>
      <c r="C5" s="3"/>
      <c r="D5" s="32"/>
      <c r="E5" s="98"/>
      <c r="F5" s="98"/>
      <c r="G5" s="98"/>
      <c r="H5" s="98"/>
      <c r="I5" s="98"/>
      <c r="J5" s="98"/>
      <c r="K5" s="98"/>
      <c r="L5" s="98"/>
      <c r="M5" s="98"/>
      <c r="N5" s="2"/>
      <c r="O5" s="2"/>
      <c r="P5" s="2"/>
      <c r="Q5" s="77" t="s">
        <v>105</v>
      </c>
      <c r="R5" s="30"/>
      <c r="S5" s="30"/>
      <c r="T5" s="30"/>
      <c r="U5" s="30"/>
    </row>
    <row r="6" spans="1:21" ht="30.75" customHeight="1">
      <c r="A6" s="34"/>
      <c r="B6" s="224" t="s">
        <v>128</v>
      </c>
      <c r="C6" s="224" t="s">
        <v>127</v>
      </c>
      <c r="D6" s="224" t="s">
        <v>136</v>
      </c>
      <c r="E6" s="227" t="s">
        <v>129</v>
      </c>
      <c r="F6" s="230" t="s">
        <v>82</v>
      </c>
      <c r="G6" s="230"/>
      <c r="H6" s="230"/>
      <c r="I6" s="231"/>
      <c r="J6" s="232" t="s">
        <v>83</v>
      </c>
      <c r="K6" s="230"/>
      <c r="L6" s="230"/>
      <c r="M6" s="230"/>
      <c r="N6" s="233" t="s">
        <v>84</v>
      </c>
      <c r="O6" s="233"/>
      <c r="P6" s="233"/>
      <c r="Q6" s="233"/>
      <c r="R6" s="30"/>
      <c r="S6" s="30"/>
      <c r="T6" s="30"/>
      <c r="U6" s="30"/>
    </row>
    <row r="7" spans="1:21" ht="28.5" customHeight="1">
      <c r="A7" s="35"/>
      <c r="B7" s="225"/>
      <c r="C7" s="225"/>
      <c r="D7" s="225"/>
      <c r="E7" s="228"/>
      <c r="F7" s="227" t="s">
        <v>87</v>
      </c>
      <c r="G7" s="227" t="s">
        <v>88</v>
      </c>
      <c r="H7" s="104" t="s">
        <v>109</v>
      </c>
      <c r="I7" s="227" t="s">
        <v>89</v>
      </c>
      <c r="J7" s="227" t="s">
        <v>87</v>
      </c>
      <c r="K7" s="227" t="s">
        <v>88</v>
      </c>
      <c r="L7" s="104" t="s">
        <v>109</v>
      </c>
      <c r="M7" s="227" t="s">
        <v>89</v>
      </c>
      <c r="N7" s="227" t="s">
        <v>87</v>
      </c>
      <c r="O7" s="227" t="s">
        <v>88</v>
      </c>
      <c r="P7" s="104" t="s">
        <v>109</v>
      </c>
      <c r="Q7" s="227" t="s">
        <v>89</v>
      </c>
      <c r="R7" s="30"/>
      <c r="S7" s="30"/>
      <c r="T7" s="30"/>
      <c r="U7" s="30"/>
    </row>
    <row r="8" spans="1:21" ht="60" customHeight="1">
      <c r="A8" s="103"/>
      <c r="B8" s="226"/>
      <c r="C8" s="226"/>
      <c r="D8" s="226"/>
      <c r="E8" s="229"/>
      <c r="F8" s="229"/>
      <c r="G8" s="229"/>
      <c r="H8" s="104" t="s">
        <v>107</v>
      </c>
      <c r="I8" s="229"/>
      <c r="J8" s="229"/>
      <c r="K8" s="229"/>
      <c r="L8" s="104" t="s">
        <v>107</v>
      </c>
      <c r="M8" s="229"/>
      <c r="N8" s="229"/>
      <c r="O8" s="229"/>
      <c r="P8" s="104" t="s">
        <v>107</v>
      </c>
      <c r="Q8" s="229"/>
      <c r="R8" s="30"/>
      <c r="S8" s="30"/>
      <c r="T8" s="30"/>
      <c r="U8" s="30"/>
    </row>
    <row r="9" spans="1:17" s="37" customFormat="1" ht="20.25" customHeight="1">
      <c r="A9" s="36"/>
      <c r="B9" s="121" t="s">
        <v>106</v>
      </c>
      <c r="C9" s="121"/>
      <c r="D9" s="121"/>
      <c r="E9" s="122" t="s">
        <v>139</v>
      </c>
      <c r="F9" s="99"/>
      <c r="G9" s="99"/>
      <c r="H9" s="99"/>
      <c r="I9" s="99"/>
      <c r="J9" s="99"/>
      <c r="K9" s="99"/>
      <c r="L9" s="99"/>
      <c r="M9" s="100"/>
      <c r="N9" s="100"/>
      <c r="O9" s="100"/>
      <c r="P9" s="100"/>
      <c r="Q9" s="100"/>
    </row>
    <row r="10" spans="2:17" ht="14.25">
      <c r="B10" s="121" t="s">
        <v>96</v>
      </c>
      <c r="C10" s="121"/>
      <c r="D10" s="121"/>
      <c r="E10" s="122" t="s">
        <v>139</v>
      </c>
      <c r="F10" s="101"/>
      <c r="G10" s="101"/>
      <c r="H10" s="101"/>
      <c r="I10" s="101"/>
      <c r="J10" s="101"/>
      <c r="K10" s="101"/>
      <c r="L10" s="101"/>
      <c r="M10" s="102"/>
      <c r="N10" s="101"/>
      <c r="O10" s="102"/>
      <c r="P10" s="102"/>
      <c r="Q10" s="101"/>
    </row>
    <row r="11" spans="2:17" ht="15">
      <c r="B11" s="121" t="s">
        <v>259</v>
      </c>
      <c r="C11" s="126" t="s">
        <v>260</v>
      </c>
      <c r="D11" s="121" t="s">
        <v>269</v>
      </c>
      <c r="E11" s="189" t="s">
        <v>255</v>
      </c>
      <c r="F11" s="101">
        <v>40000</v>
      </c>
      <c r="G11" s="101"/>
      <c r="H11" s="101"/>
      <c r="I11" s="101">
        <v>40000</v>
      </c>
      <c r="J11" s="101"/>
      <c r="K11" s="101"/>
      <c r="L11" s="101"/>
      <c r="M11" s="102"/>
      <c r="N11" s="101">
        <v>40000</v>
      </c>
      <c r="O11" s="102"/>
      <c r="P11" s="102"/>
      <c r="Q11" s="101">
        <v>40000</v>
      </c>
    </row>
    <row r="12" spans="2:17" ht="27.75" customHeight="1">
      <c r="B12" s="82"/>
      <c r="C12" s="82"/>
      <c r="D12" s="90"/>
      <c r="E12" s="79" t="s">
        <v>108</v>
      </c>
      <c r="F12" s="101">
        <v>40000</v>
      </c>
      <c r="G12" s="85"/>
      <c r="H12" s="85"/>
      <c r="I12" s="101">
        <v>40000</v>
      </c>
      <c r="J12" s="85"/>
      <c r="K12" s="85"/>
      <c r="L12" s="85"/>
      <c r="M12" s="85"/>
      <c r="N12" s="101">
        <v>40000</v>
      </c>
      <c r="O12" s="85"/>
      <c r="P12" s="85"/>
      <c r="Q12" s="101">
        <v>40000</v>
      </c>
    </row>
    <row r="13" ht="9" customHeight="1"/>
    <row r="14" spans="1:17" s="114" customFormat="1" ht="25.5" customHeight="1">
      <c r="A14" s="113"/>
      <c r="B14" s="223" t="s">
        <v>290</v>
      </c>
      <c r="C14" s="223"/>
      <c r="D14" s="223"/>
      <c r="E14" s="223"/>
      <c r="F14" s="223"/>
      <c r="G14" s="223"/>
      <c r="H14" s="223"/>
      <c r="I14" s="223"/>
      <c r="J14" s="223"/>
      <c r="K14" s="223"/>
      <c r="L14" s="223"/>
      <c r="M14" s="223"/>
      <c r="N14" s="223"/>
      <c r="O14" s="223"/>
      <c r="P14" s="223"/>
      <c r="Q14" s="223"/>
    </row>
    <row r="15" spans="1:17" s="114" customFormat="1" ht="18.75" customHeight="1">
      <c r="A15" s="113"/>
      <c r="B15" s="222"/>
      <c r="C15" s="222"/>
      <c r="D15" s="222"/>
      <c r="E15" s="222"/>
      <c r="F15" s="222"/>
      <c r="G15" s="222"/>
      <c r="H15" s="222"/>
      <c r="I15" s="222"/>
      <c r="J15" s="222"/>
      <c r="K15" s="222"/>
      <c r="L15" s="222"/>
      <c r="M15" s="222"/>
      <c r="N15" s="222"/>
      <c r="O15" s="222"/>
      <c r="P15" s="222"/>
      <c r="Q15" s="222"/>
    </row>
    <row r="16" spans="1:17" s="114" customFormat="1" ht="31.5" customHeight="1">
      <c r="A16" s="113"/>
      <c r="B16" s="222"/>
      <c r="C16" s="222"/>
      <c r="D16" s="222"/>
      <c r="E16" s="222"/>
      <c r="F16" s="222"/>
      <c r="G16" s="222"/>
      <c r="H16" s="222"/>
      <c r="I16" s="222"/>
      <c r="J16" s="222"/>
      <c r="K16" s="222"/>
      <c r="L16" s="222"/>
      <c r="M16" s="222"/>
      <c r="N16" s="222"/>
      <c r="O16" s="222"/>
      <c r="P16" s="222"/>
      <c r="Q16" s="222"/>
    </row>
    <row r="17" spans="1:17" s="114" customFormat="1" ht="27" customHeight="1">
      <c r="A17" s="113"/>
      <c r="B17" s="222"/>
      <c r="C17" s="222"/>
      <c r="D17" s="222"/>
      <c r="E17" s="222"/>
      <c r="F17" s="222"/>
      <c r="G17" s="222"/>
      <c r="H17" s="222"/>
      <c r="I17" s="222"/>
      <c r="J17" s="222"/>
      <c r="K17" s="222"/>
      <c r="L17" s="222"/>
      <c r="M17" s="222"/>
      <c r="N17" s="222"/>
      <c r="O17" s="222"/>
      <c r="P17" s="222"/>
      <c r="Q17" s="222"/>
    </row>
  </sheetData>
  <sheetProtection/>
  <mergeCells count="22">
    <mergeCell ref="Q7:Q8"/>
    <mergeCell ref="G7:G8"/>
    <mergeCell ref="I7:I8"/>
    <mergeCell ref="J7:J8"/>
    <mergeCell ref="K7:K8"/>
    <mergeCell ref="M7:M8"/>
    <mergeCell ref="N7:N8"/>
    <mergeCell ref="O7:O8"/>
    <mergeCell ref="M2:Q2"/>
    <mergeCell ref="E3:M4"/>
    <mergeCell ref="B6:B8"/>
    <mergeCell ref="C6:C8"/>
    <mergeCell ref="D6:D8"/>
    <mergeCell ref="E6:E8"/>
    <mergeCell ref="F6:I6"/>
    <mergeCell ref="J6:M6"/>
    <mergeCell ref="N6:Q6"/>
    <mergeCell ref="F7:F8"/>
    <mergeCell ref="B15:Q15"/>
    <mergeCell ref="B16:Q16"/>
    <mergeCell ref="B14:Q14"/>
    <mergeCell ref="B17:Q17"/>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Z45"/>
  <sheetViews>
    <sheetView showGridLines="0" showZeros="0" view="pageBreakPreview" zoomScaleSheetLayoutView="100" zoomScalePageLayoutView="0" workbookViewId="0" topLeftCell="E1">
      <selection activeCell="D5" sqref="D5:K5"/>
    </sheetView>
  </sheetViews>
  <sheetFormatPr defaultColWidth="9.16015625" defaultRowHeight="12.75"/>
  <cols>
    <col min="1" max="1" width="0.328125" style="16" hidden="1" customWidth="1"/>
    <col min="2" max="2" width="4.33203125" style="16" hidden="1" customWidth="1"/>
    <col min="3" max="3" width="1.171875" style="16" hidden="1" customWidth="1"/>
    <col min="4" max="4" width="18.5" style="16" customWidth="1"/>
    <col min="5" max="5" width="43.5" style="16" customWidth="1"/>
    <col min="6" max="7" width="22.83203125" style="16" customWidth="1"/>
    <col min="8" max="9" width="22.83203125" style="19" customWidth="1"/>
    <col min="10" max="11" width="22.83203125" style="16" customWidth="1"/>
    <col min="12" max="12" width="18.33203125" style="16" customWidth="1"/>
    <col min="13" max="13" width="23.33203125" style="16" customWidth="1"/>
    <col min="14" max="14" width="18.66015625" style="16" customWidth="1"/>
    <col min="15" max="15" width="18.33203125" style="16" customWidth="1"/>
    <col min="16" max="16" width="21.33203125" style="16" customWidth="1"/>
    <col min="17" max="17" width="24.5" style="16" customWidth="1"/>
    <col min="18" max="18" width="21.33203125" style="16" customWidth="1"/>
    <col min="19" max="19" width="19.16015625" style="16" customWidth="1"/>
    <col min="20" max="20" width="19.33203125" style="16" customWidth="1"/>
    <col min="21" max="21" width="21.66015625" style="16" customWidth="1"/>
    <col min="22" max="22" width="19.33203125" style="16" customWidth="1"/>
    <col min="23" max="23" width="26.16015625" style="16" customWidth="1"/>
    <col min="24" max="24" width="37.33203125" style="16" customWidth="1"/>
    <col min="25" max="25" width="17.16015625" style="16" customWidth="1"/>
    <col min="26" max="26" width="20.16015625" style="16" customWidth="1"/>
    <col min="27" max="16384" width="9.16015625" style="16" customWidth="1"/>
  </cols>
  <sheetData>
    <row r="1" spans="4:5" ht="22.5" customHeight="1">
      <c r="D1" s="52"/>
      <c r="E1" s="52"/>
    </row>
    <row r="3" ht="21.75" customHeight="1"/>
    <row r="4" spans="5:11" ht="86.25" customHeight="1">
      <c r="E4" s="13"/>
      <c r="F4" s="13"/>
      <c r="G4" s="13"/>
      <c r="H4" s="217" t="s">
        <v>114</v>
      </c>
      <c r="I4" s="217"/>
      <c r="J4" s="217"/>
      <c r="K4" s="217"/>
    </row>
    <row r="5" spans="1:11" ht="67.5" customHeight="1">
      <c r="A5" s="14"/>
      <c r="B5" s="14"/>
      <c r="C5" s="14"/>
      <c r="D5" s="241" t="s">
        <v>159</v>
      </c>
      <c r="E5" s="241"/>
      <c r="F5" s="241"/>
      <c r="G5" s="241"/>
      <c r="H5" s="241"/>
      <c r="I5" s="241"/>
      <c r="J5" s="241"/>
      <c r="K5" s="241"/>
    </row>
    <row r="6" spans="1:11" ht="18" customHeight="1">
      <c r="A6" s="14"/>
      <c r="B6" s="14"/>
      <c r="C6" s="14"/>
      <c r="D6" s="14"/>
      <c r="H6" s="59"/>
      <c r="I6" s="21"/>
      <c r="J6" s="20"/>
      <c r="K6" s="77" t="s">
        <v>29</v>
      </c>
    </row>
    <row r="7" spans="1:11" s="95" customFormat="1" ht="48" customHeight="1">
      <c r="A7" s="92" t="s">
        <v>101</v>
      </c>
      <c r="B7" s="93" t="s">
        <v>81</v>
      </c>
      <c r="C7" s="94">
        <v>0</v>
      </c>
      <c r="D7" s="238" t="s">
        <v>97</v>
      </c>
      <c r="E7" s="238" t="s">
        <v>98</v>
      </c>
      <c r="F7" s="242" t="s">
        <v>433</v>
      </c>
      <c r="G7" s="243"/>
      <c r="H7" s="237" t="s">
        <v>65</v>
      </c>
      <c r="I7" s="237"/>
      <c r="J7" s="237"/>
      <c r="K7" s="237"/>
    </row>
    <row r="8" spans="1:11" s="95" customFormat="1" ht="30.75" customHeight="1">
      <c r="A8" s="92" t="s">
        <v>100</v>
      </c>
      <c r="B8" s="93" t="s">
        <v>81</v>
      </c>
      <c r="C8" s="94">
        <v>0</v>
      </c>
      <c r="D8" s="239"/>
      <c r="E8" s="239"/>
      <c r="F8" s="244"/>
      <c r="G8" s="245"/>
      <c r="H8" s="234" t="s">
        <v>85</v>
      </c>
      <c r="I8" s="235"/>
      <c r="J8" s="236" t="s">
        <v>86</v>
      </c>
      <c r="K8" s="236"/>
    </row>
    <row r="9" spans="1:11" s="95" customFormat="1" ht="29.25" customHeight="1">
      <c r="A9" s="92" t="s">
        <v>102</v>
      </c>
      <c r="B9" s="93" t="s">
        <v>81</v>
      </c>
      <c r="C9" s="94">
        <v>0</v>
      </c>
      <c r="D9" s="240"/>
      <c r="E9" s="240"/>
      <c r="F9" s="96" t="s">
        <v>393</v>
      </c>
      <c r="G9" s="96" t="s">
        <v>394</v>
      </c>
      <c r="H9" s="96" t="s">
        <v>32</v>
      </c>
      <c r="I9" s="96" t="s">
        <v>395</v>
      </c>
      <c r="J9" s="96" t="s">
        <v>32</v>
      </c>
      <c r="K9" s="96" t="s">
        <v>104</v>
      </c>
    </row>
    <row r="10" spans="1:11" ht="40.5" customHeight="1">
      <c r="A10" s="22" t="s">
        <v>99</v>
      </c>
      <c r="B10" s="11" t="s">
        <v>81</v>
      </c>
      <c r="C10" s="55">
        <v>0</v>
      </c>
      <c r="D10" s="96">
        <v>22310200000</v>
      </c>
      <c r="E10" s="96" t="s">
        <v>50</v>
      </c>
      <c r="F10" s="58"/>
      <c r="G10" s="58" t="s">
        <v>11</v>
      </c>
      <c r="H10" s="57" t="s">
        <v>297</v>
      </c>
      <c r="I10" s="57" t="s">
        <v>12</v>
      </c>
      <c r="J10" s="57"/>
      <c r="K10" s="58"/>
    </row>
    <row r="11" spans="1:11" ht="40.5" customHeight="1">
      <c r="A11" s="22"/>
      <c r="B11" s="11"/>
      <c r="C11" s="55"/>
      <c r="D11" s="96">
        <v>22100000000</v>
      </c>
      <c r="E11" s="96" t="s">
        <v>64</v>
      </c>
      <c r="F11" s="58"/>
      <c r="G11" s="58"/>
      <c r="H11" s="57"/>
      <c r="I11" s="57"/>
      <c r="J11" s="57"/>
      <c r="K11" s="58"/>
    </row>
    <row r="12" spans="1:11" ht="39.75" customHeight="1">
      <c r="A12" s="23">
        <v>13</v>
      </c>
      <c r="B12" s="12" t="s">
        <v>81</v>
      </c>
      <c r="C12" s="55">
        <v>0</v>
      </c>
      <c r="D12" s="56"/>
      <c r="E12" s="97" t="s">
        <v>90</v>
      </c>
      <c r="F12" s="58"/>
      <c r="G12" s="58" t="s">
        <v>11</v>
      </c>
      <c r="H12" s="57" t="s">
        <v>297</v>
      </c>
      <c r="I12" s="57" t="s">
        <v>12</v>
      </c>
      <c r="J12" s="57"/>
      <c r="K12" s="58"/>
    </row>
    <row r="13" spans="1:26" s="24" customFormat="1" ht="31.5" customHeight="1">
      <c r="A13" s="15"/>
      <c r="B13" s="17"/>
      <c r="C13" s="17"/>
      <c r="D13" s="16"/>
      <c r="E13" s="223" t="s">
        <v>290</v>
      </c>
      <c r="F13" s="223"/>
      <c r="G13" s="223"/>
      <c r="H13" s="223"/>
      <c r="I13" s="223"/>
      <c r="J13" s="223"/>
      <c r="K13" s="223"/>
      <c r="L13" s="223"/>
      <c r="M13" s="223"/>
      <c r="N13" s="223"/>
      <c r="O13" s="223"/>
      <c r="P13" s="223"/>
      <c r="Q13" s="223"/>
      <c r="R13" s="223"/>
      <c r="S13" s="223"/>
      <c r="T13" s="223"/>
      <c r="U13" s="16"/>
      <c r="V13" s="16"/>
      <c r="W13" s="16"/>
      <c r="X13" s="16"/>
      <c r="Y13" s="16"/>
      <c r="Z13" s="16"/>
    </row>
    <row r="14" spans="1:3" ht="10.5" customHeight="1" thickBot="1">
      <c r="A14" s="18"/>
      <c r="B14" s="25"/>
      <c r="C14" s="25"/>
    </row>
    <row r="15" spans="1:26" s="173" customFormat="1" ht="18" customHeight="1" thickBot="1">
      <c r="A15" s="170"/>
      <c r="B15" s="171"/>
      <c r="C15" s="171"/>
      <c r="D15" s="172"/>
      <c r="E15" s="174" t="s">
        <v>58</v>
      </c>
      <c r="F15" s="175"/>
      <c r="G15" s="177">
        <f>+G12-'дод.3'!Q44</f>
        <v>0</v>
      </c>
      <c r="H15" s="177">
        <f>+H12-'дод.3'!Q43</f>
        <v>0</v>
      </c>
      <c r="I15" s="176">
        <f>+I12-'дод.3'!Q45</f>
        <v>0</v>
      </c>
      <c r="J15" s="172"/>
      <c r="K15" s="172"/>
      <c r="L15" s="172"/>
      <c r="M15" s="172"/>
      <c r="N15" s="172"/>
      <c r="O15" s="172"/>
      <c r="P15" s="172"/>
      <c r="Q15" s="172"/>
      <c r="R15" s="172"/>
      <c r="S15" s="172"/>
      <c r="T15" s="172"/>
      <c r="U15" s="172"/>
      <c r="V15" s="172"/>
      <c r="W15" s="172"/>
      <c r="X15" s="172"/>
      <c r="Y15" s="172"/>
      <c r="Z15" s="172"/>
    </row>
    <row r="16" spans="1:26" s="26" customFormat="1" ht="12.75">
      <c r="A16" s="27"/>
      <c r="B16" s="28"/>
      <c r="C16" s="28"/>
      <c r="D16" s="16"/>
      <c r="E16" s="16"/>
      <c r="F16" s="16"/>
      <c r="G16" s="16"/>
      <c r="H16" s="19"/>
      <c r="I16" s="19"/>
      <c r="J16" s="16"/>
      <c r="K16" s="16"/>
      <c r="L16" s="16"/>
      <c r="M16" s="16"/>
      <c r="N16" s="16"/>
      <c r="O16" s="16"/>
      <c r="P16" s="16"/>
      <c r="Q16" s="16"/>
      <c r="R16" s="16"/>
      <c r="S16" s="16"/>
      <c r="T16" s="16"/>
      <c r="U16" s="16"/>
      <c r="V16" s="16"/>
      <c r="W16" s="16"/>
      <c r="X16" s="16"/>
      <c r="Y16" s="16"/>
      <c r="Z16" s="16"/>
    </row>
    <row r="17" spans="1:26" s="26" customFormat="1" ht="12.75">
      <c r="A17" s="27"/>
      <c r="B17" s="28"/>
      <c r="C17" s="28"/>
      <c r="D17" s="16"/>
      <c r="E17" s="16"/>
      <c r="F17" s="16"/>
      <c r="G17" s="16"/>
      <c r="H17" s="19"/>
      <c r="I17" s="19"/>
      <c r="J17" s="16"/>
      <c r="K17" s="16"/>
      <c r="L17" s="16"/>
      <c r="M17" s="16"/>
      <c r="N17" s="16"/>
      <c r="O17" s="16"/>
      <c r="P17" s="16"/>
      <c r="Q17" s="16"/>
      <c r="R17" s="16"/>
      <c r="S17" s="16"/>
      <c r="T17" s="16"/>
      <c r="U17" s="16"/>
      <c r="V17" s="16"/>
      <c r="W17" s="16"/>
      <c r="X17" s="16"/>
      <c r="Y17" s="16"/>
      <c r="Z17" s="16"/>
    </row>
    <row r="18" spans="1:26" s="26" customFormat="1" ht="12.75">
      <c r="A18" s="27"/>
      <c r="B18" s="28"/>
      <c r="C18" s="28"/>
      <c r="D18" s="16"/>
      <c r="E18" s="16"/>
      <c r="F18" s="16"/>
      <c r="G18" s="16"/>
      <c r="H18" s="19"/>
      <c r="I18" s="19"/>
      <c r="J18" s="16"/>
      <c r="K18" s="16"/>
      <c r="L18" s="16"/>
      <c r="M18" s="16"/>
      <c r="N18" s="16"/>
      <c r="O18" s="16"/>
      <c r="P18" s="16"/>
      <c r="Q18" s="16"/>
      <c r="R18" s="16"/>
      <c r="S18" s="16"/>
      <c r="T18" s="16"/>
      <c r="U18" s="16"/>
      <c r="V18" s="16"/>
      <c r="W18" s="16"/>
      <c r="X18" s="16"/>
      <c r="Y18" s="16"/>
      <c r="Z18" s="16"/>
    </row>
    <row r="19" spans="1:3" ht="12.75">
      <c r="A19" s="18"/>
      <c r="B19" s="25"/>
      <c r="C19" s="25"/>
    </row>
    <row r="20" spans="1:3" ht="12.75">
      <c r="A20" s="18"/>
      <c r="B20" s="25"/>
      <c r="C20" s="25"/>
    </row>
    <row r="21" spans="1:3" ht="12.75">
      <c r="A21" s="18"/>
      <c r="B21" s="25"/>
      <c r="C21" s="25"/>
    </row>
    <row r="22" spans="1:3" ht="12.75">
      <c r="A22" s="18"/>
      <c r="B22" s="25"/>
      <c r="C22" s="25"/>
    </row>
    <row r="23" spans="1:3" ht="12.75">
      <c r="A23" s="18"/>
      <c r="B23" s="25"/>
      <c r="C23" s="25"/>
    </row>
    <row r="24" spans="1:3" ht="12.75">
      <c r="A24" s="18"/>
      <c r="B24" s="25"/>
      <c r="C24" s="25"/>
    </row>
    <row r="25" spans="1:3" ht="12.75">
      <c r="A25" s="18"/>
      <c r="B25" s="25"/>
      <c r="C25" s="25"/>
    </row>
    <row r="26" spans="1:3" ht="12.75">
      <c r="A26" s="18"/>
      <c r="B26" s="25"/>
      <c r="C26" s="25"/>
    </row>
    <row r="27" spans="1:3" ht="12.75">
      <c r="A27" s="18"/>
      <c r="B27" s="25"/>
      <c r="C27" s="25"/>
    </row>
    <row r="28" spans="1:3" ht="12.75">
      <c r="A28" s="18"/>
      <c r="B28" s="25"/>
      <c r="C28" s="25"/>
    </row>
    <row r="29" spans="1:3" ht="12.75">
      <c r="A29" s="18"/>
      <c r="B29" s="25"/>
      <c r="C29" s="25"/>
    </row>
    <row r="30" spans="1:3" ht="12.75">
      <c r="A30" s="18"/>
      <c r="B30" s="25"/>
      <c r="C30" s="25"/>
    </row>
    <row r="31" spans="1:3" ht="12.75">
      <c r="A31" s="18"/>
      <c r="B31" s="25"/>
      <c r="C31" s="25"/>
    </row>
    <row r="32" spans="1:3" ht="12.75">
      <c r="A32" s="18"/>
      <c r="B32" s="25"/>
      <c r="C32" s="25"/>
    </row>
    <row r="33" spans="1:3" ht="12.75">
      <c r="A33" s="18"/>
      <c r="B33" s="25"/>
      <c r="C33" s="25"/>
    </row>
    <row r="34" spans="1:3" ht="12.75">
      <c r="A34" s="18"/>
      <c r="B34" s="25"/>
      <c r="C34" s="25"/>
    </row>
    <row r="35" spans="1:3" ht="12.75">
      <c r="A35" s="18"/>
      <c r="B35" s="25"/>
      <c r="C35" s="25"/>
    </row>
    <row r="36" spans="1:3" ht="12.75">
      <c r="A36" s="18"/>
      <c r="B36" s="25"/>
      <c r="C36" s="25"/>
    </row>
    <row r="37" spans="1:3" ht="12.75">
      <c r="A37" s="18"/>
      <c r="B37" s="25"/>
      <c r="C37" s="25"/>
    </row>
    <row r="38" spans="1:3" ht="12.75">
      <c r="A38" s="18"/>
      <c r="B38" s="25"/>
      <c r="C38" s="25"/>
    </row>
    <row r="39" spans="1:3" ht="12.75">
      <c r="A39" s="18"/>
      <c r="B39" s="25"/>
      <c r="C39" s="25"/>
    </row>
    <row r="40" spans="1:3" ht="12.75">
      <c r="A40" s="18"/>
      <c r="B40" s="25"/>
      <c r="C40" s="25"/>
    </row>
    <row r="41" spans="1:3" ht="12.75">
      <c r="A41" s="18"/>
      <c r="B41" s="25"/>
      <c r="C41" s="25"/>
    </row>
    <row r="42" ht="44.25" customHeight="1">
      <c r="A42" s="18"/>
    </row>
    <row r="43" ht="12.75">
      <c r="A43" s="18"/>
    </row>
    <row r="44" ht="12.75">
      <c r="A44" s="18"/>
    </row>
    <row r="45" ht="16.5" thickBot="1">
      <c r="C45" s="29"/>
    </row>
    <row r="55" ht="45.75" customHeight="1"/>
  </sheetData>
  <sheetProtection/>
  <mergeCells count="9">
    <mergeCell ref="E13:T13"/>
    <mergeCell ref="D7:D9"/>
    <mergeCell ref="E7:E9"/>
    <mergeCell ref="D5:K5"/>
    <mergeCell ref="F7:G8"/>
    <mergeCell ref="H4:K4"/>
    <mergeCell ref="H8:I8"/>
    <mergeCell ref="J8:K8"/>
    <mergeCell ref="H7:K7"/>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Q114"/>
  <sheetViews>
    <sheetView view="pageBreakPreview" zoomScale="90" zoomScaleSheetLayoutView="90" zoomScalePageLayoutView="0" workbookViewId="0" topLeftCell="B103">
      <selection activeCell="H107" sqref="H107"/>
    </sheetView>
  </sheetViews>
  <sheetFormatPr defaultColWidth="9.16015625" defaultRowHeight="12.75"/>
  <cols>
    <col min="1" max="1" width="3.83203125" style="6" hidden="1" customWidth="1"/>
    <col min="2" max="2" width="15.16015625" style="87" customWidth="1"/>
    <col min="3" max="3" width="14" style="87" customWidth="1"/>
    <col min="4" max="4" width="16" style="87" customWidth="1"/>
    <col min="5" max="5" width="48.5" style="6" customWidth="1"/>
    <col min="6" max="6" width="45" style="6" customWidth="1"/>
    <col min="7" max="10" width="21.16015625" style="6" customWidth="1"/>
    <col min="11" max="16384" width="9.16015625" style="5" customWidth="1"/>
  </cols>
  <sheetData>
    <row r="1" spans="1:10" s="51" customFormat="1" ht="22.5" customHeight="1">
      <c r="A1" s="50"/>
      <c r="B1" s="200"/>
      <c r="C1" s="200"/>
      <c r="D1" s="200"/>
      <c r="E1" s="200"/>
      <c r="F1" s="200"/>
      <c r="G1" s="200"/>
      <c r="H1" s="200"/>
      <c r="I1" s="200"/>
      <c r="J1" s="200"/>
    </row>
    <row r="2" spans="7:10" ht="69.75" customHeight="1">
      <c r="G2" s="217" t="s">
        <v>115</v>
      </c>
      <c r="H2" s="217"/>
      <c r="I2" s="217"/>
      <c r="J2" s="217"/>
    </row>
    <row r="3" spans="1:10" ht="45" customHeight="1">
      <c r="A3" s="2"/>
      <c r="B3" s="204" t="s">
        <v>160</v>
      </c>
      <c r="C3" s="205"/>
      <c r="D3" s="205"/>
      <c r="E3" s="205"/>
      <c r="F3" s="205"/>
      <c r="G3" s="205"/>
      <c r="H3" s="205"/>
      <c r="I3" s="205"/>
      <c r="J3" s="205"/>
    </row>
    <row r="4" spans="2:10" ht="18.75">
      <c r="B4" s="88"/>
      <c r="C4" s="89"/>
      <c r="D4" s="89"/>
      <c r="E4" s="7"/>
      <c r="F4" s="105"/>
      <c r="G4" s="105"/>
      <c r="H4" s="106"/>
      <c r="I4" s="105"/>
      <c r="J4" s="77" t="s">
        <v>29</v>
      </c>
    </row>
    <row r="5" spans="1:10" ht="107.25" customHeight="1">
      <c r="A5" s="91"/>
      <c r="B5" s="60" t="s">
        <v>130</v>
      </c>
      <c r="C5" s="60" t="s">
        <v>131</v>
      </c>
      <c r="D5" s="60" t="s">
        <v>138</v>
      </c>
      <c r="E5" s="110" t="s">
        <v>129</v>
      </c>
      <c r="F5" s="78" t="s">
        <v>125</v>
      </c>
      <c r="G5" s="78" t="s">
        <v>118</v>
      </c>
      <c r="H5" s="78" t="s">
        <v>119</v>
      </c>
      <c r="I5" s="78" t="s">
        <v>120</v>
      </c>
      <c r="J5" s="78" t="s">
        <v>121</v>
      </c>
    </row>
    <row r="6" spans="1:10" s="39" customFormat="1" ht="22.5" customHeight="1">
      <c r="A6" s="38"/>
      <c r="B6" s="121" t="s">
        <v>106</v>
      </c>
      <c r="C6" s="121"/>
      <c r="D6" s="121"/>
      <c r="E6" s="122" t="s">
        <v>139</v>
      </c>
      <c r="F6" s="80"/>
      <c r="G6" s="80"/>
      <c r="H6" s="80"/>
      <c r="I6" s="80"/>
      <c r="J6" s="80"/>
    </row>
    <row r="7" spans="2:10" ht="28.5" customHeight="1">
      <c r="B7" s="121" t="s">
        <v>96</v>
      </c>
      <c r="C7" s="121"/>
      <c r="D7" s="121"/>
      <c r="E7" s="122" t="s">
        <v>139</v>
      </c>
      <c r="F7" s="81"/>
      <c r="G7" s="81"/>
      <c r="H7" s="81"/>
      <c r="I7" s="81"/>
      <c r="J7" s="81"/>
    </row>
    <row r="8" spans="2:10" ht="30">
      <c r="B8" s="121" t="s">
        <v>479</v>
      </c>
      <c r="C8" s="126" t="s">
        <v>480</v>
      </c>
      <c r="D8" s="126" t="s">
        <v>146</v>
      </c>
      <c r="E8" s="127" t="s">
        <v>188</v>
      </c>
      <c r="F8" s="127" t="s">
        <v>24</v>
      </c>
      <c r="G8" s="81">
        <v>200000</v>
      </c>
      <c r="H8" s="81"/>
      <c r="I8" s="81"/>
      <c r="J8" s="81">
        <v>200000</v>
      </c>
    </row>
    <row r="9" spans="2:10" ht="75">
      <c r="B9" s="121" t="s">
        <v>162</v>
      </c>
      <c r="C9" s="126" t="s">
        <v>163</v>
      </c>
      <c r="D9" s="126" t="s">
        <v>144</v>
      </c>
      <c r="E9" s="127" t="s">
        <v>432</v>
      </c>
      <c r="F9" s="127" t="s">
        <v>434</v>
      </c>
      <c r="G9" s="81">
        <v>70000</v>
      </c>
      <c r="H9" s="81"/>
      <c r="I9" s="81"/>
      <c r="J9" s="81">
        <v>70000</v>
      </c>
    </row>
    <row r="10" spans="2:10" ht="45">
      <c r="B10" s="121" t="s">
        <v>169</v>
      </c>
      <c r="C10" s="126" t="s">
        <v>170</v>
      </c>
      <c r="D10" s="126" t="s">
        <v>38</v>
      </c>
      <c r="E10" s="127" t="s">
        <v>171</v>
      </c>
      <c r="F10" s="127" t="s">
        <v>202</v>
      </c>
      <c r="G10" s="81">
        <v>381661</v>
      </c>
      <c r="H10" s="81"/>
      <c r="I10" s="81"/>
      <c r="J10" s="81">
        <v>381661</v>
      </c>
    </row>
    <row r="11" spans="2:10" ht="45">
      <c r="B11" s="121" t="s">
        <v>169</v>
      </c>
      <c r="C11" s="126" t="s">
        <v>170</v>
      </c>
      <c r="D11" s="126" t="s">
        <v>38</v>
      </c>
      <c r="E11" s="127" t="s">
        <v>171</v>
      </c>
      <c r="F11" s="127" t="s">
        <v>203</v>
      </c>
      <c r="G11" s="81">
        <v>1399349</v>
      </c>
      <c r="H11" s="81"/>
      <c r="I11" s="81"/>
      <c r="J11" s="81">
        <v>1399349</v>
      </c>
    </row>
    <row r="12" spans="2:10" ht="45">
      <c r="B12" s="121" t="s">
        <v>169</v>
      </c>
      <c r="C12" s="126" t="s">
        <v>170</v>
      </c>
      <c r="D12" s="126" t="s">
        <v>38</v>
      </c>
      <c r="E12" s="127" t="s">
        <v>171</v>
      </c>
      <c r="F12" s="127" t="s">
        <v>204</v>
      </c>
      <c r="G12" s="81">
        <v>1600000</v>
      </c>
      <c r="H12" s="81"/>
      <c r="I12" s="81"/>
      <c r="J12" s="81">
        <v>1600000</v>
      </c>
    </row>
    <row r="13" spans="2:10" ht="45">
      <c r="B13" s="121" t="s">
        <v>169</v>
      </c>
      <c r="C13" s="126" t="s">
        <v>170</v>
      </c>
      <c r="D13" s="126" t="s">
        <v>38</v>
      </c>
      <c r="E13" s="127" t="s">
        <v>171</v>
      </c>
      <c r="F13" s="127" t="s">
        <v>205</v>
      </c>
      <c r="G13" s="81">
        <v>419359</v>
      </c>
      <c r="H13" s="81"/>
      <c r="I13" s="81"/>
      <c r="J13" s="81">
        <v>419359</v>
      </c>
    </row>
    <row r="14" spans="2:10" ht="45">
      <c r="B14" s="121" t="s">
        <v>169</v>
      </c>
      <c r="C14" s="126" t="s">
        <v>170</v>
      </c>
      <c r="D14" s="126" t="s">
        <v>38</v>
      </c>
      <c r="E14" s="127" t="s">
        <v>171</v>
      </c>
      <c r="F14" s="127" t="s">
        <v>206</v>
      </c>
      <c r="G14" s="81">
        <v>1483529</v>
      </c>
      <c r="H14" s="81"/>
      <c r="I14" s="81"/>
      <c r="J14" s="81">
        <v>1483529</v>
      </c>
    </row>
    <row r="15" spans="2:10" ht="45">
      <c r="B15" s="121" t="s">
        <v>169</v>
      </c>
      <c r="C15" s="126" t="s">
        <v>170</v>
      </c>
      <c r="D15" s="126" t="s">
        <v>38</v>
      </c>
      <c r="E15" s="127" t="s">
        <v>171</v>
      </c>
      <c r="F15" s="127" t="s">
        <v>207</v>
      </c>
      <c r="G15" s="81">
        <v>965102</v>
      </c>
      <c r="H15" s="81"/>
      <c r="I15" s="81"/>
      <c r="J15" s="81">
        <v>965102</v>
      </c>
    </row>
    <row r="16" spans="2:10" ht="45">
      <c r="B16" s="121" t="s">
        <v>162</v>
      </c>
      <c r="C16" s="126" t="s">
        <v>163</v>
      </c>
      <c r="D16" s="126" t="s">
        <v>144</v>
      </c>
      <c r="E16" s="127" t="s">
        <v>432</v>
      </c>
      <c r="F16" s="127" t="s">
        <v>238</v>
      </c>
      <c r="G16" s="81">
        <v>553124</v>
      </c>
      <c r="H16" s="81"/>
      <c r="I16" s="81"/>
      <c r="J16" s="81">
        <v>553124</v>
      </c>
    </row>
    <row r="17" spans="2:10" ht="45">
      <c r="B17" s="121" t="s">
        <v>286</v>
      </c>
      <c r="C17" s="130">
        <v>7361</v>
      </c>
      <c r="D17" s="126" t="s">
        <v>231</v>
      </c>
      <c r="E17" s="127" t="s">
        <v>266</v>
      </c>
      <c r="F17" s="127" t="s">
        <v>239</v>
      </c>
      <c r="G17" s="81">
        <v>303000</v>
      </c>
      <c r="H17" s="81"/>
      <c r="I17" s="81"/>
      <c r="J17" s="81">
        <v>303000</v>
      </c>
    </row>
    <row r="18" spans="2:10" ht="60">
      <c r="B18" s="128">
        <v>1014060</v>
      </c>
      <c r="C18" s="130">
        <v>4060</v>
      </c>
      <c r="D18" s="126" t="s">
        <v>47</v>
      </c>
      <c r="E18" s="127" t="s">
        <v>493</v>
      </c>
      <c r="F18" s="127" t="s">
        <v>240</v>
      </c>
      <c r="G18" s="81">
        <v>78150</v>
      </c>
      <c r="H18" s="81"/>
      <c r="I18" s="81"/>
      <c r="J18" s="81">
        <v>78150</v>
      </c>
    </row>
    <row r="19" spans="2:10" ht="15">
      <c r="B19" s="121" t="s">
        <v>224</v>
      </c>
      <c r="C19" s="126" t="s">
        <v>225</v>
      </c>
      <c r="D19" s="126" t="s">
        <v>232</v>
      </c>
      <c r="E19" s="127" t="s">
        <v>226</v>
      </c>
      <c r="F19" s="127" t="s">
        <v>241</v>
      </c>
      <c r="G19" s="81">
        <v>490000</v>
      </c>
      <c r="H19" s="81"/>
      <c r="I19" s="81"/>
      <c r="J19" s="81">
        <v>490000</v>
      </c>
    </row>
    <row r="20" spans="2:10" ht="45">
      <c r="B20" s="121" t="s">
        <v>267</v>
      </c>
      <c r="C20" s="130">
        <v>7361</v>
      </c>
      <c r="D20" s="126" t="s">
        <v>231</v>
      </c>
      <c r="E20" s="127" t="s">
        <v>266</v>
      </c>
      <c r="F20" s="127" t="s">
        <v>242</v>
      </c>
      <c r="G20" s="81">
        <v>1000000</v>
      </c>
      <c r="H20" s="81"/>
      <c r="I20" s="81"/>
      <c r="J20" s="81">
        <v>1000000</v>
      </c>
    </row>
    <row r="21" spans="2:10" ht="60">
      <c r="B21" s="121" t="s">
        <v>3</v>
      </c>
      <c r="C21" s="130">
        <v>1010</v>
      </c>
      <c r="D21" s="126" t="s">
        <v>40</v>
      </c>
      <c r="E21" s="127" t="s">
        <v>491</v>
      </c>
      <c r="F21" s="127" t="s">
        <v>243</v>
      </c>
      <c r="G21" s="81">
        <v>50000</v>
      </c>
      <c r="H21" s="81"/>
      <c r="I21" s="81"/>
      <c r="J21" s="81">
        <v>50000</v>
      </c>
    </row>
    <row r="22" spans="2:10" ht="75">
      <c r="B22" s="121" t="s">
        <v>4</v>
      </c>
      <c r="C22" s="130">
        <v>1020</v>
      </c>
      <c r="D22" s="126" t="s">
        <v>41</v>
      </c>
      <c r="E22" s="127" t="s">
        <v>153</v>
      </c>
      <c r="F22" s="127" t="s">
        <v>244</v>
      </c>
      <c r="G22" s="81">
        <v>9000</v>
      </c>
      <c r="H22" s="81"/>
      <c r="I22" s="81"/>
      <c r="J22" s="81">
        <v>9000</v>
      </c>
    </row>
    <row r="23" spans="2:10" ht="75">
      <c r="B23" s="121" t="s">
        <v>4</v>
      </c>
      <c r="C23" s="130">
        <v>1020</v>
      </c>
      <c r="D23" s="126" t="s">
        <v>41</v>
      </c>
      <c r="E23" s="127" t="s">
        <v>153</v>
      </c>
      <c r="F23" s="127" t="s">
        <v>245</v>
      </c>
      <c r="G23" s="81">
        <v>110000</v>
      </c>
      <c r="H23" s="81"/>
      <c r="I23" s="81"/>
      <c r="J23" s="81">
        <v>110000</v>
      </c>
    </row>
    <row r="24" spans="2:10" ht="75">
      <c r="B24" s="121" t="s">
        <v>458</v>
      </c>
      <c r="C24" s="126" t="s">
        <v>459</v>
      </c>
      <c r="D24" s="126" t="s">
        <v>33</v>
      </c>
      <c r="E24" s="127" t="s">
        <v>460</v>
      </c>
      <c r="F24" s="127" t="s">
        <v>246</v>
      </c>
      <c r="G24" s="81">
        <v>66300</v>
      </c>
      <c r="H24" s="81"/>
      <c r="I24" s="81"/>
      <c r="J24" s="81">
        <v>66300</v>
      </c>
    </row>
    <row r="25" spans="2:10" ht="45">
      <c r="B25" s="121" t="s">
        <v>464</v>
      </c>
      <c r="C25" s="126" t="s">
        <v>465</v>
      </c>
      <c r="D25" s="126" t="s">
        <v>185</v>
      </c>
      <c r="E25" s="127" t="s">
        <v>466</v>
      </c>
      <c r="F25" s="127" t="s">
        <v>247</v>
      </c>
      <c r="G25" s="81">
        <v>67300</v>
      </c>
      <c r="H25" s="81"/>
      <c r="I25" s="81"/>
      <c r="J25" s="81">
        <v>67300</v>
      </c>
    </row>
    <row r="26" spans="2:10" ht="90">
      <c r="B26" s="121" t="s">
        <v>227</v>
      </c>
      <c r="C26" s="126" t="s">
        <v>228</v>
      </c>
      <c r="D26" s="126" t="s">
        <v>231</v>
      </c>
      <c r="E26" s="127" t="s">
        <v>229</v>
      </c>
      <c r="F26" s="127" t="s">
        <v>348</v>
      </c>
      <c r="G26" s="81">
        <f>236529+420100+6700</f>
        <v>663329</v>
      </c>
      <c r="H26" s="81"/>
      <c r="I26" s="81"/>
      <c r="J26" s="81">
        <f>236529+420100+6700</f>
        <v>663329</v>
      </c>
    </row>
    <row r="27" spans="2:10" ht="75">
      <c r="B27" s="121" t="s">
        <v>227</v>
      </c>
      <c r="C27" s="126" t="s">
        <v>228</v>
      </c>
      <c r="D27" s="126" t="s">
        <v>231</v>
      </c>
      <c r="E27" s="127" t="s">
        <v>229</v>
      </c>
      <c r="F27" s="127" t="s">
        <v>248</v>
      </c>
      <c r="G27" s="81">
        <f>168280.68+224400+4000</f>
        <v>396680.68</v>
      </c>
      <c r="H27" s="81"/>
      <c r="I27" s="81"/>
      <c r="J27" s="81">
        <f>168280.68+224400+4000</f>
        <v>396680.68</v>
      </c>
    </row>
    <row r="28" spans="2:10" ht="60">
      <c r="B28" s="121" t="s">
        <v>227</v>
      </c>
      <c r="C28" s="126" t="s">
        <v>228</v>
      </c>
      <c r="D28" s="126" t="s">
        <v>231</v>
      </c>
      <c r="E28" s="127" t="s">
        <v>229</v>
      </c>
      <c r="F28" s="127" t="s">
        <v>349</v>
      </c>
      <c r="G28" s="81">
        <f>45823.46+244605+3000</f>
        <v>293428.46</v>
      </c>
      <c r="H28" s="81"/>
      <c r="I28" s="81"/>
      <c r="J28" s="81">
        <f>45823.46+244605+3000</f>
        <v>293428.46</v>
      </c>
    </row>
    <row r="29" spans="2:10" ht="45">
      <c r="B29" s="121" t="s">
        <v>3</v>
      </c>
      <c r="C29" s="130">
        <v>1010</v>
      </c>
      <c r="D29" s="126" t="s">
        <v>40</v>
      </c>
      <c r="E29" s="127" t="s">
        <v>491</v>
      </c>
      <c r="F29" s="127" t="s">
        <v>249</v>
      </c>
      <c r="G29" s="81">
        <v>118535</v>
      </c>
      <c r="H29" s="81"/>
      <c r="I29" s="81"/>
      <c r="J29" s="81">
        <v>118535</v>
      </c>
    </row>
    <row r="30" spans="2:10" ht="75">
      <c r="B30" s="121" t="s">
        <v>169</v>
      </c>
      <c r="C30" s="126" t="s">
        <v>170</v>
      </c>
      <c r="D30" s="126" t="s">
        <v>38</v>
      </c>
      <c r="E30" s="127" t="s">
        <v>171</v>
      </c>
      <c r="F30" s="127" t="s">
        <v>270</v>
      </c>
      <c r="G30" s="81">
        <v>9100</v>
      </c>
      <c r="H30" s="81"/>
      <c r="I30" s="81"/>
      <c r="J30" s="81">
        <v>9100</v>
      </c>
    </row>
    <row r="31" spans="2:10" ht="75">
      <c r="B31" s="121" t="s">
        <v>471</v>
      </c>
      <c r="C31" s="126" t="s">
        <v>472</v>
      </c>
      <c r="D31" s="126" t="s">
        <v>144</v>
      </c>
      <c r="E31" s="127" t="s">
        <v>473</v>
      </c>
      <c r="F31" s="127" t="s">
        <v>263</v>
      </c>
      <c r="G31" s="81">
        <v>1232</v>
      </c>
      <c r="H31" s="81"/>
      <c r="I31" s="81"/>
      <c r="J31" s="81">
        <v>1232</v>
      </c>
    </row>
    <row r="32" spans="2:10" ht="75">
      <c r="B32" s="121" t="s">
        <v>471</v>
      </c>
      <c r="C32" s="126" t="s">
        <v>472</v>
      </c>
      <c r="D32" s="126" t="s">
        <v>144</v>
      </c>
      <c r="E32" s="127" t="s">
        <v>473</v>
      </c>
      <c r="F32" s="127" t="s">
        <v>264</v>
      </c>
      <c r="G32" s="81">
        <v>1457</v>
      </c>
      <c r="H32" s="81"/>
      <c r="I32" s="81"/>
      <c r="J32" s="81">
        <v>1457</v>
      </c>
    </row>
    <row r="33" spans="2:10" ht="15">
      <c r="B33" s="128">
        <v>1014030</v>
      </c>
      <c r="C33" s="130">
        <v>4030</v>
      </c>
      <c r="D33" s="126" t="s">
        <v>46</v>
      </c>
      <c r="E33" s="127" t="s">
        <v>492</v>
      </c>
      <c r="F33" s="127" t="s">
        <v>265</v>
      </c>
      <c r="G33" s="81">
        <v>4500</v>
      </c>
      <c r="H33" s="81"/>
      <c r="I33" s="81"/>
      <c r="J33" s="81">
        <v>4500</v>
      </c>
    </row>
    <row r="34" spans="2:10" ht="90">
      <c r="B34" s="121" t="s">
        <v>169</v>
      </c>
      <c r="C34" s="126" t="s">
        <v>170</v>
      </c>
      <c r="D34" s="126" t="s">
        <v>38</v>
      </c>
      <c r="E34" s="127" t="s">
        <v>171</v>
      </c>
      <c r="F34" s="127" t="s">
        <v>271</v>
      </c>
      <c r="G34" s="81">
        <v>7600</v>
      </c>
      <c r="H34" s="81"/>
      <c r="I34" s="81"/>
      <c r="J34" s="81">
        <v>7600</v>
      </c>
    </row>
    <row r="35" spans="2:10" ht="60">
      <c r="B35" s="121" t="s">
        <v>169</v>
      </c>
      <c r="C35" s="126" t="s">
        <v>170</v>
      </c>
      <c r="D35" s="126" t="s">
        <v>38</v>
      </c>
      <c r="E35" s="127" t="s">
        <v>171</v>
      </c>
      <c r="F35" s="127" t="s">
        <v>272</v>
      </c>
      <c r="G35" s="81">
        <v>7600</v>
      </c>
      <c r="H35" s="81"/>
      <c r="I35" s="81"/>
      <c r="J35" s="81">
        <v>7600</v>
      </c>
    </row>
    <row r="36" spans="2:10" ht="60">
      <c r="B36" s="121" t="s">
        <v>169</v>
      </c>
      <c r="C36" s="126" t="s">
        <v>170</v>
      </c>
      <c r="D36" s="126" t="s">
        <v>38</v>
      </c>
      <c r="E36" s="127" t="s">
        <v>171</v>
      </c>
      <c r="F36" s="127" t="s">
        <v>273</v>
      </c>
      <c r="G36" s="81">
        <v>3077</v>
      </c>
      <c r="H36" s="81"/>
      <c r="I36" s="81"/>
      <c r="J36" s="81">
        <v>3077</v>
      </c>
    </row>
    <row r="37" spans="2:10" ht="60">
      <c r="B37" s="121" t="s">
        <v>169</v>
      </c>
      <c r="C37" s="126" t="s">
        <v>170</v>
      </c>
      <c r="D37" s="126" t="s">
        <v>38</v>
      </c>
      <c r="E37" s="127" t="s">
        <v>171</v>
      </c>
      <c r="F37" s="127" t="s">
        <v>274</v>
      </c>
      <c r="G37" s="81">
        <v>4155</v>
      </c>
      <c r="H37" s="81"/>
      <c r="I37" s="81"/>
      <c r="J37" s="81">
        <v>4155</v>
      </c>
    </row>
    <row r="38" spans="2:10" ht="60">
      <c r="B38" s="121" t="s">
        <v>169</v>
      </c>
      <c r="C38" s="126" t="s">
        <v>170</v>
      </c>
      <c r="D38" s="126" t="s">
        <v>38</v>
      </c>
      <c r="E38" s="127" t="s">
        <v>171</v>
      </c>
      <c r="F38" s="127" t="s">
        <v>275</v>
      </c>
      <c r="G38" s="81">
        <v>8650</v>
      </c>
      <c r="H38" s="81"/>
      <c r="I38" s="81"/>
      <c r="J38" s="81">
        <v>8650</v>
      </c>
    </row>
    <row r="39" spans="2:10" ht="75">
      <c r="B39" s="121" t="s">
        <v>169</v>
      </c>
      <c r="C39" s="126" t="s">
        <v>170</v>
      </c>
      <c r="D39" s="126" t="s">
        <v>38</v>
      </c>
      <c r="E39" s="127" t="s">
        <v>171</v>
      </c>
      <c r="F39" s="127" t="s">
        <v>276</v>
      </c>
      <c r="G39" s="81">
        <v>4693</v>
      </c>
      <c r="H39" s="81"/>
      <c r="I39" s="81"/>
      <c r="J39" s="81">
        <v>4693</v>
      </c>
    </row>
    <row r="40" spans="2:10" ht="75">
      <c r="B40" s="121" t="s">
        <v>4</v>
      </c>
      <c r="C40" s="130">
        <v>1020</v>
      </c>
      <c r="D40" s="126" t="s">
        <v>41</v>
      </c>
      <c r="E40" s="127" t="s">
        <v>153</v>
      </c>
      <c r="F40" s="127" t="s">
        <v>277</v>
      </c>
      <c r="G40" s="81">
        <v>1698565</v>
      </c>
      <c r="H40" s="81"/>
      <c r="I40" s="81"/>
      <c r="J40" s="81">
        <v>1698565</v>
      </c>
    </row>
    <row r="41" spans="2:10" ht="75">
      <c r="B41" s="121" t="s">
        <v>4</v>
      </c>
      <c r="C41" s="130">
        <v>1020</v>
      </c>
      <c r="D41" s="126" t="s">
        <v>41</v>
      </c>
      <c r="E41" s="127" t="s">
        <v>153</v>
      </c>
      <c r="F41" s="127" t="s">
        <v>278</v>
      </c>
      <c r="G41" s="81">
        <v>4850</v>
      </c>
      <c r="H41" s="81"/>
      <c r="I41" s="81"/>
      <c r="J41" s="81">
        <v>4850</v>
      </c>
    </row>
    <row r="42" spans="2:10" ht="75">
      <c r="B42" s="121" t="s">
        <v>4</v>
      </c>
      <c r="C42" s="130">
        <v>1020</v>
      </c>
      <c r="D42" s="126" t="s">
        <v>41</v>
      </c>
      <c r="E42" s="127" t="s">
        <v>153</v>
      </c>
      <c r="F42" s="127" t="s">
        <v>285</v>
      </c>
      <c r="G42" s="81">
        <v>20000</v>
      </c>
      <c r="H42" s="81"/>
      <c r="I42" s="81"/>
      <c r="J42" s="81">
        <v>20000</v>
      </c>
    </row>
    <row r="43" spans="2:10" ht="30">
      <c r="B43" s="121" t="s">
        <v>182</v>
      </c>
      <c r="C43" s="130">
        <v>1161</v>
      </c>
      <c r="D43" s="126" t="s">
        <v>43</v>
      </c>
      <c r="E43" s="127" t="s">
        <v>183</v>
      </c>
      <c r="F43" s="127" t="s">
        <v>279</v>
      </c>
      <c r="G43" s="81">
        <v>6600</v>
      </c>
      <c r="H43" s="81"/>
      <c r="I43" s="81"/>
      <c r="J43" s="81">
        <v>6600</v>
      </c>
    </row>
    <row r="44" spans="2:10" ht="30">
      <c r="B44" s="121" t="s">
        <v>182</v>
      </c>
      <c r="C44" s="130">
        <v>1161</v>
      </c>
      <c r="D44" s="126" t="s">
        <v>43</v>
      </c>
      <c r="E44" s="127" t="s">
        <v>183</v>
      </c>
      <c r="F44" s="127" t="s">
        <v>284</v>
      </c>
      <c r="G44" s="81">
        <v>126000</v>
      </c>
      <c r="H44" s="81"/>
      <c r="I44" s="81"/>
      <c r="J44" s="81">
        <v>126000</v>
      </c>
    </row>
    <row r="45" spans="2:10" ht="75">
      <c r="B45" s="121" t="s">
        <v>4</v>
      </c>
      <c r="C45" s="130">
        <v>1020</v>
      </c>
      <c r="D45" s="126" t="s">
        <v>41</v>
      </c>
      <c r="E45" s="127" t="s">
        <v>153</v>
      </c>
      <c r="F45" s="127" t="s">
        <v>282</v>
      </c>
      <c r="G45" s="81">
        <v>184850</v>
      </c>
      <c r="H45" s="81"/>
      <c r="I45" s="81"/>
      <c r="J45" s="81">
        <v>184850</v>
      </c>
    </row>
    <row r="46" spans="2:10" ht="120">
      <c r="B46" s="121" t="s">
        <v>4</v>
      </c>
      <c r="C46" s="130">
        <v>1020</v>
      </c>
      <c r="D46" s="126" t="s">
        <v>41</v>
      </c>
      <c r="E46" s="127" t="s">
        <v>153</v>
      </c>
      <c r="F46" s="127" t="s">
        <v>283</v>
      </c>
      <c r="G46" s="81">
        <v>300000</v>
      </c>
      <c r="H46" s="81"/>
      <c r="I46" s="81"/>
      <c r="J46" s="81">
        <v>300000</v>
      </c>
    </row>
    <row r="47" spans="2:10" ht="90">
      <c r="B47" s="121" t="s">
        <v>471</v>
      </c>
      <c r="C47" s="126" t="s">
        <v>472</v>
      </c>
      <c r="D47" s="126" t="s">
        <v>144</v>
      </c>
      <c r="E47" s="127" t="s">
        <v>473</v>
      </c>
      <c r="F47" s="127" t="s">
        <v>314</v>
      </c>
      <c r="G47" s="81">
        <v>23000</v>
      </c>
      <c r="H47" s="81"/>
      <c r="I47" s="81"/>
      <c r="J47" s="81">
        <v>23000</v>
      </c>
    </row>
    <row r="48" spans="2:10" ht="75">
      <c r="B48" s="121" t="s">
        <v>471</v>
      </c>
      <c r="C48" s="126" t="s">
        <v>472</v>
      </c>
      <c r="D48" s="126" t="s">
        <v>144</v>
      </c>
      <c r="E48" s="127" t="s">
        <v>473</v>
      </c>
      <c r="F48" s="127" t="s">
        <v>315</v>
      </c>
      <c r="G48" s="81">
        <v>17000</v>
      </c>
      <c r="H48" s="81"/>
      <c r="I48" s="81"/>
      <c r="J48" s="81">
        <v>17000</v>
      </c>
    </row>
    <row r="49" spans="2:10" ht="75">
      <c r="B49" s="121" t="s">
        <v>471</v>
      </c>
      <c r="C49" s="126" t="s">
        <v>472</v>
      </c>
      <c r="D49" s="126" t="s">
        <v>144</v>
      </c>
      <c r="E49" s="127" t="s">
        <v>473</v>
      </c>
      <c r="F49" s="127" t="s">
        <v>313</v>
      </c>
      <c r="G49" s="81">
        <v>200000</v>
      </c>
      <c r="H49" s="81"/>
      <c r="I49" s="81"/>
      <c r="J49" s="81">
        <v>200000</v>
      </c>
    </row>
    <row r="50" spans="2:10" ht="75">
      <c r="B50" s="121" t="s">
        <v>169</v>
      </c>
      <c r="C50" s="126" t="s">
        <v>170</v>
      </c>
      <c r="D50" s="126" t="s">
        <v>38</v>
      </c>
      <c r="E50" s="127" t="s">
        <v>171</v>
      </c>
      <c r="F50" s="127" t="s">
        <v>322</v>
      </c>
      <c r="G50" s="81">
        <v>18050</v>
      </c>
      <c r="H50" s="81"/>
      <c r="I50" s="81"/>
      <c r="J50" s="81">
        <v>18050</v>
      </c>
    </row>
    <row r="51" spans="2:10" ht="75">
      <c r="B51" s="121" t="s">
        <v>169</v>
      </c>
      <c r="C51" s="126" t="s">
        <v>170</v>
      </c>
      <c r="D51" s="126" t="s">
        <v>38</v>
      </c>
      <c r="E51" s="127" t="s">
        <v>171</v>
      </c>
      <c r="F51" s="127" t="s">
        <v>323</v>
      </c>
      <c r="G51" s="81">
        <v>15050</v>
      </c>
      <c r="H51" s="81"/>
      <c r="I51" s="81"/>
      <c r="J51" s="81">
        <v>15050</v>
      </c>
    </row>
    <row r="52" spans="2:10" ht="75">
      <c r="B52" s="121" t="s">
        <v>169</v>
      </c>
      <c r="C52" s="126" t="s">
        <v>170</v>
      </c>
      <c r="D52" s="126" t="s">
        <v>38</v>
      </c>
      <c r="E52" s="127" t="s">
        <v>171</v>
      </c>
      <c r="F52" s="127" t="s">
        <v>328</v>
      </c>
      <c r="G52" s="81">
        <v>6000</v>
      </c>
      <c r="H52" s="81"/>
      <c r="I52" s="81"/>
      <c r="J52" s="81">
        <v>6000</v>
      </c>
    </row>
    <row r="53" spans="2:10" ht="45">
      <c r="B53" s="128">
        <v>1014060</v>
      </c>
      <c r="C53" s="130">
        <v>4060</v>
      </c>
      <c r="D53" s="126" t="s">
        <v>47</v>
      </c>
      <c r="E53" s="127" t="s">
        <v>493</v>
      </c>
      <c r="F53" s="127" t="s">
        <v>292</v>
      </c>
      <c r="G53" s="81">
        <v>4200</v>
      </c>
      <c r="H53" s="81"/>
      <c r="I53" s="81"/>
      <c r="J53" s="81">
        <v>4200</v>
      </c>
    </row>
    <row r="54" spans="2:10" ht="30">
      <c r="B54" s="121" t="s">
        <v>164</v>
      </c>
      <c r="C54" s="126" t="s">
        <v>39</v>
      </c>
      <c r="D54" s="126" t="s">
        <v>147</v>
      </c>
      <c r="E54" s="127" t="s">
        <v>172</v>
      </c>
      <c r="F54" s="127" t="s">
        <v>293</v>
      </c>
      <c r="G54" s="81">
        <v>11125</v>
      </c>
      <c r="H54" s="81"/>
      <c r="I54" s="81"/>
      <c r="J54" s="81">
        <v>11125</v>
      </c>
    </row>
    <row r="55" spans="2:10" ht="45">
      <c r="B55" s="121" t="s">
        <v>162</v>
      </c>
      <c r="C55" s="126" t="s">
        <v>163</v>
      </c>
      <c r="D55" s="126" t="s">
        <v>144</v>
      </c>
      <c r="E55" s="127" t="s">
        <v>432</v>
      </c>
      <c r="F55" s="127" t="s">
        <v>305</v>
      </c>
      <c r="G55" s="81">
        <v>9200</v>
      </c>
      <c r="H55" s="81"/>
      <c r="I55" s="81"/>
      <c r="J55" s="81">
        <v>9200</v>
      </c>
    </row>
    <row r="56" spans="2:10" ht="45">
      <c r="B56" s="121" t="s">
        <v>6</v>
      </c>
      <c r="C56" s="130">
        <v>5031</v>
      </c>
      <c r="D56" s="126" t="s">
        <v>44</v>
      </c>
      <c r="E56" s="127" t="s">
        <v>155</v>
      </c>
      <c r="F56" s="127" t="s">
        <v>309</v>
      </c>
      <c r="G56" s="81">
        <v>8500</v>
      </c>
      <c r="H56" s="81"/>
      <c r="I56" s="81"/>
      <c r="J56" s="81">
        <v>8500</v>
      </c>
    </row>
    <row r="57" spans="2:10" ht="75">
      <c r="B57" s="121" t="s">
        <v>4</v>
      </c>
      <c r="C57" s="130">
        <v>1020</v>
      </c>
      <c r="D57" s="126" t="s">
        <v>41</v>
      </c>
      <c r="E57" s="127" t="s">
        <v>153</v>
      </c>
      <c r="F57" s="127" t="s">
        <v>317</v>
      </c>
      <c r="G57" s="81">
        <v>23649</v>
      </c>
      <c r="H57" s="81"/>
      <c r="I57" s="81"/>
      <c r="J57" s="81">
        <v>23649</v>
      </c>
    </row>
    <row r="58" spans="2:10" ht="45">
      <c r="B58" s="121" t="s">
        <v>162</v>
      </c>
      <c r="C58" s="126" t="s">
        <v>163</v>
      </c>
      <c r="D58" s="126" t="s">
        <v>144</v>
      </c>
      <c r="E58" s="127" t="s">
        <v>432</v>
      </c>
      <c r="F58" s="127" t="s">
        <v>318</v>
      </c>
      <c r="G58" s="81">
        <v>18000</v>
      </c>
      <c r="H58" s="81"/>
      <c r="I58" s="81"/>
      <c r="J58" s="81">
        <v>18000</v>
      </c>
    </row>
    <row r="59" spans="2:10" ht="45">
      <c r="B59" s="121" t="s">
        <v>162</v>
      </c>
      <c r="C59" s="126" t="s">
        <v>163</v>
      </c>
      <c r="D59" s="126" t="s">
        <v>144</v>
      </c>
      <c r="E59" s="127" t="s">
        <v>432</v>
      </c>
      <c r="F59" s="127" t="s">
        <v>319</v>
      </c>
      <c r="G59" s="81">
        <v>12780</v>
      </c>
      <c r="H59" s="81"/>
      <c r="I59" s="81"/>
      <c r="J59" s="81">
        <v>12780</v>
      </c>
    </row>
    <row r="60" spans="2:10" ht="45">
      <c r="B60" s="121" t="s">
        <v>162</v>
      </c>
      <c r="C60" s="126" t="s">
        <v>163</v>
      </c>
      <c r="D60" s="126" t="s">
        <v>144</v>
      </c>
      <c r="E60" s="127" t="s">
        <v>432</v>
      </c>
      <c r="F60" s="127" t="s">
        <v>320</v>
      </c>
      <c r="G60" s="81">
        <v>17000</v>
      </c>
      <c r="H60" s="81"/>
      <c r="I60" s="81"/>
      <c r="J60" s="81">
        <v>17000</v>
      </c>
    </row>
    <row r="61" spans="2:10" ht="45">
      <c r="B61" s="121" t="s">
        <v>162</v>
      </c>
      <c r="C61" s="126" t="s">
        <v>163</v>
      </c>
      <c r="D61" s="126" t="s">
        <v>144</v>
      </c>
      <c r="E61" s="127" t="s">
        <v>432</v>
      </c>
      <c r="F61" s="127" t="s">
        <v>321</v>
      </c>
      <c r="G61" s="81">
        <v>11410</v>
      </c>
      <c r="H61" s="81"/>
      <c r="I61" s="81"/>
      <c r="J61" s="81">
        <v>11410</v>
      </c>
    </row>
    <row r="62" spans="2:10" ht="30">
      <c r="B62" s="121" t="s">
        <v>294</v>
      </c>
      <c r="C62" s="126" t="s">
        <v>295</v>
      </c>
      <c r="D62" s="126" t="s">
        <v>231</v>
      </c>
      <c r="E62" s="127" t="s">
        <v>296</v>
      </c>
      <c r="F62" s="127" t="s">
        <v>329</v>
      </c>
      <c r="G62" s="81">
        <v>200000</v>
      </c>
      <c r="H62" s="81"/>
      <c r="I62" s="81"/>
      <c r="J62" s="81">
        <v>200000</v>
      </c>
    </row>
    <row r="63" spans="2:10" ht="75">
      <c r="B63" s="121" t="s">
        <v>458</v>
      </c>
      <c r="C63" s="126" t="s">
        <v>459</v>
      </c>
      <c r="D63" s="126" t="s">
        <v>33</v>
      </c>
      <c r="E63" s="127" t="s">
        <v>460</v>
      </c>
      <c r="F63" s="127" t="s">
        <v>364</v>
      </c>
      <c r="G63" s="81">
        <v>14335</v>
      </c>
      <c r="H63" s="81"/>
      <c r="I63" s="81"/>
      <c r="J63" s="81">
        <v>14335</v>
      </c>
    </row>
    <row r="64" spans="2:10" ht="30">
      <c r="B64" s="121" t="s">
        <v>471</v>
      </c>
      <c r="C64" s="126" t="s">
        <v>472</v>
      </c>
      <c r="D64" s="126" t="s">
        <v>144</v>
      </c>
      <c r="E64" s="127" t="s">
        <v>473</v>
      </c>
      <c r="F64" s="127" t="s">
        <v>333</v>
      </c>
      <c r="G64" s="81">
        <v>33694</v>
      </c>
      <c r="H64" s="81"/>
      <c r="I64" s="81"/>
      <c r="J64" s="81">
        <v>33694</v>
      </c>
    </row>
    <row r="65" spans="2:10" ht="60">
      <c r="B65" s="121" t="s">
        <v>169</v>
      </c>
      <c r="C65" s="126" t="s">
        <v>170</v>
      </c>
      <c r="D65" s="126" t="s">
        <v>38</v>
      </c>
      <c r="E65" s="127" t="s">
        <v>171</v>
      </c>
      <c r="F65" s="127" t="s">
        <v>334</v>
      </c>
      <c r="G65" s="81">
        <v>16050</v>
      </c>
      <c r="H65" s="81"/>
      <c r="I65" s="81"/>
      <c r="J65" s="81">
        <v>16050</v>
      </c>
    </row>
    <row r="66" spans="2:10" ht="120">
      <c r="B66" s="121" t="s">
        <v>162</v>
      </c>
      <c r="C66" s="126" t="s">
        <v>163</v>
      </c>
      <c r="D66" s="126" t="s">
        <v>144</v>
      </c>
      <c r="E66" s="127" t="s">
        <v>432</v>
      </c>
      <c r="F66" s="127" t="s">
        <v>339</v>
      </c>
      <c r="G66" s="81">
        <v>82900</v>
      </c>
      <c r="H66" s="81"/>
      <c r="I66" s="81"/>
      <c r="J66" s="81">
        <v>82900</v>
      </c>
    </row>
    <row r="67" spans="2:10" ht="75">
      <c r="B67" s="121" t="s">
        <v>4</v>
      </c>
      <c r="C67" s="130">
        <v>1020</v>
      </c>
      <c r="D67" s="126" t="s">
        <v>41</v>
      </c>
      <c r="E67" s="127" t="s">
        <v>153</v>
      </c>
      <c r="F67" s="127" t="s">
        <v>340</v>
      </c>
      <c r="G67" s="81">
        <v>63800</v>
      </c>
      <c r="H67" s="81"/>
      <c r="I67" s="81"/>
      <c r="J67" s="81">
        <v>63800</v>
      </c>
    </row>
    <row r="68" spans="2:10" ht="45">
      <c r="B68" s="121" t="s">
        <v>3</v>
      </c>
      <c r="C68" s="130">
        <v>1010</v>
      </c>
      <c r="D68" s="126" t="s">
        <v>40</v>
      </c>
      <c r="E68" s="127" t="s">
        <v>491</v>
      </c>
      <c r="F68" s="127" t="s">
        <v>341</v>
      </c>
      <c r="G68" s="81">
        <v>11450</v>
      </c>
      <c r="H68" s="81"/>
      <c r="I68" s="81"/>
      <c r="J68" s="81">
        <v>11450</v>
      </c>
    </row>
    <row r="69" spans="2:10" ht="45">
      <c r="B69" s="121" t="s">
        <v>6</v>
      </c>
      <c r="C69" s="130">
        <v>5031</v>
      </c>
      <c r="D69" s="126" t="s">
        <v>44</v>
      </c>
      <c r="E69" s="127" t="s">
        <v>155</v>
      </c>
      <c r="F69" s="127" t="s">
        <v>342</v>
      </c>
      <c r="G69" s="81">
        <v>116385</v>
      </c>
      <c r="H69" s="81"/>
      <c r="I69" s="81"/>
      <c r="J69" s="81">
        <v>116385</v>
      </c>
    </row>
    <row r="70" spans="2:10" ht="75">
      <c r="B70" s="121" t="s">
        <v>4</v>
      </c>
      <c r="C70" s="130">
        <v>1020</v>
      </c>
      <c r="D70" s="126" t="s">
        <v>41</v>
      </c>
      <c r="E70" s="127" t="s">
        <v>153</v>
      </c>
      <c r="F70" s="127" t="s">
        <v>344</v>
      </c>
      <c r="G70" s="81">
        <v>110000</v>
      </c>
      <c r="H70" s="81"/>
      <c r="I70" s="81"/>
      <c r="J70" s="81">
        <v>110000</v>
      </c>
    </row>
    <row r="71" spans="2:10" ht="60">
      <c r="B71" s="121" t="s">
        <v>351</v>
      </c>
      <c r="C71" s="126" t="s">
        <v>352</v>
      </c>
      <c r="D71" s="126" t="s">
        <v>231</v>
      </c>
      <c r="E71" s="127" t="s">
        <v>361</v>
      </c>
      <c r="F71" s="127" t="s">
        <v>353</v>
      </c>
      <c r="G71" s="81">
        <v>1239935</v>
      </c>
      <c r="H71" s="81"/>
      <c r="I71" s="81"/>
      <c r="J71" s="81">
        <v>1239935</v>
      </c>
    </row>
    <row r="72" spans="2:10" ht="60">
      <c r="B72" s="121" t="s">
        <v>351</v>
      </c>
      <c r="C72" s="126" t="s">
        <v>352</v>
      </c>
      <c r="D72" s="126" t="s">
        <v>231</v>
      </c>
      <c r="E72" s="127" t="s">
        <v>361</v>
      </c>
      <c r="F72" s="127" t="s">
        <v>359</v>
      </c>
      <c r="G72" s="81">
        <v>329194</v>
      </c>
      <c r="H72" s="81"/>
      <c r="I72" s="81"/>
      <c r="J72" s="81">
        <v>329194</v>
      </c>
    </row>
    <row r="73" spans="2:10" ht="60">
      <c r="B73" s="121" t="s">
        <v>351</v>
      </c>
      <c r="C73" s="126" t="s">
        <v>352</v>
      </c>
      <c r="D73" s="126" t="s">
        <v>231</v>
      </c>
      <c r="E73" s="127" t="s">
        <v>361</v>
      </c>
      <c r="F73" s="127" t="s">
        <v>358</v>
      </c>
      <c r="G73" s="81">
        <v>972303</v>
      </c>
      <c r="H73" s="81"/>
      <c r="I73" s="81"/>
      <c r="J73" s="81">
        <v>972303</v>
      </c>
    </row>
    <row r="74" spans="2:10" ht="60">
      <c r="B74" s="121" t="s">
        <v>351</v>
      </c>
      <c r="C74" s="126" t="s">
        <v>352</v>
      </c>
      <c r="D74" s="126" t="s">
        <v>231</v>
      </c>
      <c r="E74" s="127" t="s">
        <v>361</v>
      </c>
      <c r="F74" s="127" t="s">
        <v>360</v>
      </c>
      <c r="G74" s="81">
        <v>392976</v>
      </c>
      <c r="H74" s="81"/>
      <c r="I74" s="81"/>
      <c r="J74" s="81">
        <v>392976</v>
      </c>
    </row>
    <row r="75" spans="2:10" ht="75">
      <c r="B75" s="121" t="s">
        <v>351</v>
      </c>
      <c r="C75" s="126" t="s">
        <v>352</v>
      </c>
      <c r="D75" s="126" t="s">
        <v>231</v>
      </c>
      <c r="E75" s="127" t="s">
        <v>361</v>
      </c>
      <c r="F75" s="127" t="s">
        <v>355</v>
      </c>
      <c r="G75" s="81">
        <v>61906</v>
      </c>
      <c r="H75" s="81"/>
      <c r="I75" s="81"/>
      <c r="J75" s="81">
        <v>61906</v>
      </c>
    </row>
    <row r="76" spans="2:10" ht="60">
      <c r="B76" s="121" t="s">
        <v>351</v>
      </c>
      <c r="C76" s="126" t="s">
        <v>352</v>
      </c>
      <c r="D76" s="126" t="s">
        <v>231</v>
      </c>
      <c r="E76" s="127" t="s">
        <v>361</v>
      </c>
      <c r="F76" s="127" t="s">
        <v>357</v>
      </c>
      <c r="G76" s="81">
        <v>870735</v>
      </c>
      <c r="H76" s="81"/>
      <c r="I76" s="81"/>
      <c r="J76" s="81">
        <v>870735</v>
      </c>
    </row>
    <row r="77" spans="2:10" ht="60">
      <c r="B77" s="121" t="s">
        <v>351</v>
      </c>
      <c r="C77" s="126" t="s">
        <v>352</v>
      </c>
      <c r="D77" s="126" t="s">
        <v>231</v>
      </c>
      <c r="E77" s="127" t="s">
        <v>361</v>
      </c>
      <c r="F77" s="127" t="s">
        <v>356</v>
      </c>
      <c r="G77" s="81">
        <v>98771</v>
      </c>
      <c r="H77" s="81"/>
      <c r="I77" s="81"/>
      <c r="J77" s="81">
        <v>98771</v>
      </c>
    </row>
    <row r="78" spans="2:10" ht="120">
      <c r="B78" s="121" t="s">
        <v>351</v>
      </c>
      <c r="C78" s="126" t="s">
        <v>352</v>
      </c>
      <c r="D78" s="126" t="s">
        <v>231</v>
      </c>
      <c r="E78" s="127" t="s">
        <v>361</v>
      </c>
      <c r="F78" s="127" t="s">
        <v>354</v>
      </c>
      <c r="G78" s="81">
        <v>2104917</v>
      </c>
      <c r="H78" s="81"/>
      <c r="I78" s="81"/>
      <c r="J78" s="81">
        <v>2104917</v>
      </c>
    </row>
    <row r="79" spans="2:10" ht="45">
      <c r="B79" s="121" t="s">
        <v>471</v>
      </c>
      <c r="C79" s="126" t="s">
        <v>472</v>
      </c>
      <c r="D79" s="126" t="s">
        <v>144</v>
      </c>
      <c r="E79" s="127" t="s">
        <v>473</v>
      </c>
      <c r="F79" s="127" t="s">
        <v>365</v>
      </c>
      <c r="G79" s="81">
        <v>43046</v>
      </c>
      <c r="H79" s="81"/>
      <c r="I79" s="81"/>
      <c r="J79" s="81">
        <v>43046</v>
      </c>
    </row>
    <row r="80" spans="2:10" ht="30">
      <c r="B80" s="121" t="s">
        <v>471</v>
      </c>
      <c r="C80" s="126" t="s">
        <v>472</v>
      </c>
      <c r="D80" s="126" t="s">
        <v>144</v>
      </c>
      <c r="E80" s="127" t="s">
        <v>473</v>
      </c>
      <c r="F80" s="127" t="s">
        <v>366</v>
      </c>
      <c r="G80" s="81">
        <v>43800</v>
      </c>
      <c r="H80" s="81"/>
      <c r="I80" s="81"/>
      <c r="J80" s="81">
        <v>43800</v>
      </c>
    </row>
    <row r="81" spans="2:10" ht="45">
      <c r="B81" s="121" t="s">
        <v>3</v>
      </c>
      <c r="C81" s="130">
        <v>1010</v>
      </c>
      <c r="D81" s="126" t="s">
        <v>40</v>
      </c>
      <c r="E81" s="127" t="s">
        <v>491</v>
      </c>
      <c r="F81" s="127" t="s">
        <v>191</v>
      </c>
      <c r="G81" s="81">
        <v>36540</v>
      </c>
      <c r="H81" s="81"/>
      <c r="I81" s="81"/>
      <c r="J81" s="81">
        <v>36540</v>
      </c>
    </row>
    <row r="82" spans="2:10" ht="75">
      <c r="B82" s="121" t="s">
        <v>4</v>
      </c>
      <c r="C82" s="130">
        <v>1020</v>
      </c>
      <c r="D82" s="126" t="s">
        <v>41</v>
      </c>
      <c r="E82" s="127" t="s">
        <v>153</v>
      </c>
      <c r="F82" s="127" t="s">
        <v>367</v>
      </c>
      <c r="G82" s="81">
        <v>6270</v>
      </c>
      <c r="H82" s="81"/>
      <c r="I82" s="81"/>
      <c r="J82" s="81">
        <v>6270</v>
      </c>
    </row>
    <row r="83" spans="2:10" ht="75">
      <c r="B83" s="121" t="s">
        <v>162</v>
      </c>
      <c r="C83" s="126" t="s">
        <v>163</v>
      </c>
      <c r="D83" s="126" t="s">
        <v>144</v>
      </c>
      <c r="E83" s="127" t="s">
        <v>432</v>
      </c>
      <c r="F83" s="127" t="s">
        <v>373</v>
      </c>
      <c r="G83" s="81">
        <v>19286</v>
      </c>
      <c r="H83" s="81"/>
      <c r="I83" s="81"/>
      <c r="J83" s="81">
        <v>19286</v>
      </c>
    </row>
    <row r="84" spans="2:10" ht="60">
      <c r="B84" s="121" t="s">
        <v>169</v>
      </c>
      <c r="C84" s="126" t="s">
        <v>170</v>
      </c>
      <c r="D84" s="126" t="s">
        <v>38</v>
      </c>
      <c r="E84" s="127" t="s">
        <v>171</v>
      </c>
      <c r="F84" s="127" t="s">
        <v>374</v>
      </c>
      <c r="G84" s="81">
        <v>6357</v>
      </c>
      <c r="H84" s="81"/>
      <c r="I84" s="81"/>
      <c r="J84" s="81">
        <v>6357</v>
      </c>
    </row>
    <row r="85" spans="2:10" ht="60">
      <c r="B85" s="121" t="s">
        <v>169</v>
      </c>
      <c r="C85" s="126" t="s">
        <v>170</v>
      </c>
      <c r="D85" s="126" t="s">
        <v>38</v>
      </c>
      <c r="E85" s="127" t="s">
        <v>171</v>
      </c>
      <c r="F85" s="127" t="s">
        <v>375</v>
      </c>
      <c r="G85" s="81">
        <v>2693</v>
      </c>
      <c r="H85" s="81"/>
      <c r="I85" s="81"/>
      <c r="J85" s="81">
        <v>2693</v>
      </c>
    </row>
    <row r="86" spans="2:10" ht="60">
      <c r="B86" s="121" t="s">
        <v>169</v>
      </c>
      <c r="C86" s="126" t="s">
        <v>170</v>
      </c>
      <c r="D86" s="126" t="s">
        <v>38</v>
      </c>
      <c r="E86" s="127" t="s">
        <v>171</v>
      </c>
      <c r="F86" s="127" t="s">
        <v>376</v>
      </c>
      <c r="G86" s="81">
        <v>1077</v>
      </c>
      <c r="H86" s="81"/>
      <c r="I86" s="81"/>
      <c r="J86" s="81">
        <v>1077</v>
      </c>
    </row>
    <row r="87" spans="2:10" ht="60">
      <c r="B87" s="121" t="s">
        <v>169</v>
      </c>
      <c r="C87" s="126" t="s">
        <v>170</v>
      </c>
      <c r="D87" s="126" t="s">
        <v>38</v>
      </c>
      <c r="E87" s="127" t="s">
        <v>171</v>
      </c>
      <c r="F87" s="127" t="s">
        <v>377</v>
      </c>
      <c r="G87" s="81">
        <v>4309</v>
      </c>
      <c r="H87" s="81"/>
      <c r="I87" s="81"/>
      <c r="J87" s="81">
        <v>4309</v>
      </c>
    </row>
    <row r="88" spans="2:10" ht="60">
      <c r="B88" s="121" t="s">
        <v>169</v>
      </c>
      <c r="C88" s="126" t="s">
        <v>170</v>
      </c>
      <c r="D88" s="126" t="s">
        <v>38</v>
      </c>
      <c r="E88" s="127" t="s">
        <v>171</v>
      </c>
      <c r="F88" s="127" t="s">
        <v>378</v>
      </c>
      <c r="G88" s="81">
        <v>4847</v>
      </c>
      <c r="H88" s="81"/>
      <c r="I88" s="81"/>
      <c r="J88" s="81">
        <v>4847</v>
      </c>
    </row>
    <row r="89" spans="2:10" ht="60">
      <c r="B89" s="121" t="s">
        <v>227</v>
      </c>
      <c r="C89" s="126" t="s">
        <v>228</v>
      </c>
      <c r="D89" s="126" t="s">
        <v>231</v>
      </c>
      <c r="E89" s="127" t="s">
        <v>229</v>
      </c>
      <c r="F89" s="127" t="s">
        <v>379</v>
      </c>
      <c r="G89" s="81">
        <f>301890-2000</f>
        <v>299890</v>
      </c>
      <c r="H89" s="81"/>
      <c r="I89" s="81"/>
      <c r="J89" s="81">
        <v>299890</v>
      </c>
    </row>
    <row r="90" spans="2:10" ht="45">
      <c r="B90" s="121" t="s">
        <v>471</v>
      </c>
      <c r="C90" s="126" t="s">
        <v>472</v>
      </c>
      <c r="D90" s="126" t="s">
        <v>144</v>
      </c>
      <c r="E90" s="127" t="s">
        <v>473</v>
      </c>
      <c r="F90" s="127" t="s">
        <v>380</v>
      </c>
      <c r="G90" s="81">
        <v>39000</v>
      </c>
      <c r="H90" s="81"/>
      <c r="I90" s="81"/>
      <c r="J90" s="81">
        <v>39000</v>
      </c>
    </row>
    <row r="91" spans="2:10" ht="75">
      <c r="B91" s="121" t="s">
        <v>471</v>
      </c>
      <c r="C91" s="126" t="s">
        <v>472</v>
      </c>
      <c r="D91" s="126" t="s">
        <v>144</v>
      </c>
      <c r="E91" s="127" t="s">
        <v>473</v>
      </c>
      <c r="F91" s="127" t="s">
        <v>382</v>
      </c>
      <c r="G91" s="81">
        <v>72000</v>
      </c>
      <c r="H91" s="81"/>
      <c r="I91" s="81"/>
      <c r="J91" s="81">
        <v>72000</v>
      </c>
    </row>
    <row r="92" spans="2:10" ht="75">
      <c r="B92" s="121" t="s">
        <v>4</v>
      </c>
      <c r="C92" s="130">
        <v>1020</v>
      </c>
      <c r="D92" s="126" t="s">
        <v>41</v>
      </c>
      <c r="E92" s="127" t="s">
        <v>153</v>
      </c>
      <c r="F92" s="127" t="s">
        <v>381</v>
      </c>
      <c r="G92" s="81">
        <v>19285</v>
      </c>
      <c r="H92" s="81"/>
      <c r="I92" s="81"/>
      <c r="J92" s="81">
        <v>19285</v>
      </c>
    </row>
    <row r="93" spans="2:10" ht="60">
      <c r="B93" s="121" t="s">
        <v>3</v>
      </c>
      <c r="C93" s="130">
        <v>1010</v>
      </c>
      <c r="D93" s="126" t="s">
        <v>40</v>
      </c>
      <c r="E93" s="127" t="s">
        <v>491</v>
      </c>
      <c r="F93" s="127" t="s">
        <v>383</v>
      </c>
      <c r="G93" s="81">
        <v>29046</v>
      </c>
      <c r="H93" s="81"/>
      <c r="I93" s="81"/>
      <c r="J93" s="81">
        <v>29046</v>
      </c>
    </row>
    <row r="94" spans="2:10" ht="45">
      <c r="B94" s="121" t="s">
        <v>6</v>
      </c>
      <c r="C94" s="130">
        <v>5031</v>
      </c>
      <c r="D94" s="126" t="s">
        <v>44</v>
      </c>
      <c r="E94" s="127" t="s">
        <v>155</v>
      </c>
      <c r="F94" s="127" t="s">
        <v>384</v>
      </c>
      <c r="G94" s="81">
        <v>12759</v>
      </c>
      <c r="H94" s="81"/>
      <c r="I94" s="81"/>
      <c r="J94" s="81">
        <v>12759</v>
      </c>
    </row>
    <row r="95" spans="2:10" ht="45">
      <c r="B95" s="121" t="s">
        <v>6</v>
      </c>
      <c r="C95" s="130">
        <v>5031</v>
      </c>
      <c r="D95" s="126" t="s">
        <v>44</v>
      </c>
      <c r="E95" s="127" t="s">
        <v>155</v>
      </c>
      <c r="F95" s="127" t="s">
        <v>385</v>
      </c>
      <c r="G95" s="81">
        <v>10000</v>
      </c>
      <c r="H95" s="81"/>
      <c r="I95" s="81"/>
      <c r="J95" s="81">
        <v>10000</v>
      </c>
    </row>
    <row r="96" spans="2:10" ht="75">
      <c r="B96" s="121" t="s">
        <v>4</v>
      </c>
      <c r="C96" s="130">
        <v>1020</v>
      </c>
      <c r="D96" s="126" t="s">
        <v>41</v>
      </c>
      <c r="E96" s="127" t="s">
        <v>153</v>
      </c>
      <c r="F96" s="127" t="s">
        <v>386</v>
      </c>
      <c r="G96" s="81">
        <v>12464</v>
      </c>
      <c r="H96" s="81"/>
      <c r="I96" s="81"/>
      <c r="J96" s="81">
        <v>12464</v>
      </c>
    </row>
    <row r="97" spans="2:10" ht="75">
      <c r="B97" s="121" t="s">
        <v>4</v>
      </c>
      <c r="C97" s="130">
        <v>1020</v>
      </c>
      <c r="D97" s="126" t="s">
        <v>41</v>
      </c>
      <c r="E97" s="127" t="s">
        <v>153</v>
      </c>
      <c r="F97" s="127" t="s">
        <v>387</v>
      </c>
      <c r="G97" s="81">
        <v>26013</v>
      </c>
      <c r="H97" s="81"/>
      <c r="I97" s="81"/>
      <c r="J97" s="81">
        <v>26013</v>
      </c>
    </row>
    <row r="98" spans="2:10" ht="60">
      <c r="B98" s="121" t="s">
        <v>351</v>
      </c>
      <c r="C98" s="126" t="s">
        <v>352</v>
      </c>
      <c r="D98" s="126" t="s">
        <v>231</v>
      </c>
      <c r="E98" s="127" t="s">
        <v>361</v>
      </c>
      <c r="F98" s="127" t="s">
        <v>346</v>
      </c>
      <c r="G98" s="81">
        <v>55263</v>
      </c>
      <c r="H98" s="81"/>
      <c r="I98" s="81"/>
      <c r="J98" s="81">
        <v>55263</v>
      </c>
    </row>
    <row r="99" spans="2:10" ht="90">
      <c r="B99" s="121" t="s">
        <v>324</v>
      </c>
      <c r="C99" s="126" t="s">
        <v>325</v>
      </c>
      <c r="D99" s="126" t="s">
        <v>231</v>
      </c>
      <c r="E99" s="127" t="s">
        <v>326</v>
      </c>
      <c r="F99" s="127" t="s">
        <v>327</v>
      </c>
      <c r="G99" s="81">
        <v>598354</v>
      </c>
      <c r="H99" s="81"/>
      <c r="I99" s="81"/>
      <c r="J99" s="81">
        <v>598354</v>
      </c>
    </row>
    <row r="100" spans="2:10" ht="30">
      <c r="B100" s="121" t="s">
        <v>471</v>
      </c>
      <c r="C100" s="126" t="s">
        <v>472</v>
      </c>
      <c r="D100" s="126" t="s">
        <v>144</v>
      </c>
      <c r="E100" s="127" t="s">
        <v>473</v>
      </c>
      <c r="F100" s="127" t="s">
        <v>298</v>
      </c>
      <c r="G100" s="81">
        <v>160924</v>
      </c>
      <c r="H100" s="81"/>
      <c r="I100" s="81"/>
      <c r="J100" s="81">
        <v>160924</v>
      </c>
    </row>
    <row r="101" spans="2:10" ht="30">
      <c r="B101" s="121" t="s">
        <v>471</v>
      </c>
      <c r="C101" s="126" t="s">
        <v>472</v>
      </c>
      <c r="D101" s="126" t="s">
        <v>144</v>
      </c>
      <c r="E101" s="127" t="s">
        <v>473</v>
      </c>
      <c r="F101" s="127" t="s">
        <v>299</v>
      </c>
      <c r="G101" s="81">
        <v>39158</v>
      </c>
      <c r="H101" s="81"/>
      <c r="I101" s="81"/>
      <c r="J101" s="81">
        <v>39158</v>
      </c>
    </row>
    <row r="102" spans="2:10" ht="75">
      <c r="B102" s="121" t="s">
        <v>4</v>
      </c>
      <c r="C102" s="130">
        <v>1020</v>
      </c>
      <c r="D102" s="126" t="s">
        <v>41</v>
      </c>
      <c r="E102" s="127" t="s">
        <v>153</v>
      </c>
      <c r="F102" s="127" t="s">
        <v>302</v>
      </c>
      <c r="G102" s="81">
        <v>9169</v>
      </c>
      <c r="H102" s="81"/>
      <c r="I102" s="81"/>
      <c r="J102" s="81">
        <v>9169</v>
      </c>
    </row>
    <row r="103" spans="2:10" ht="75">
      <c r="B103" s="121" t="s">
        <v>4</v>
      </c>
      <c r="C103" s="130">
        <v>1020</v>
      </c>
      <c r="D103" s="126" t="s">
        <v>41</v>
      </c>
      <c r="E103" s="127" t="s">
        <v>153</v>
      </c>
      <c r="F103" s="127" t="s">
        <v>303</v>
      </c>
      <c r="G103" s="81">
        <v>8326</v>
      </c>
      <c r="H103" s="81"/>
      <c r="I103" s="81"/>
      <c r="J103" s="81">
        <v>8326</v>
      </c>
    </row>
    <row r="104" spans="2:10" ht="45">
      <c r="B104" s="128">
        <v>1014060</v>
      </c>
      <c r="C104" s="130">
        <v>4060</v>
      </c>
      <c r="D104" s="126" t="s">
        <v>47</v>
      </c>
      <c r="E104" s="127" t="s">
        <v>493</v>
      </c>
      <c r="F104" s="127" t="s">
        <v>300</v>
      </c>
      <c r="G104" s="81">
        <v>178367</v>
      </c>
      <c r="H104" s="81"/>
      <c r="I104" s="81"/>
      <c r="J104" s="81">
        <v>178367</v>
      </c>
    </row>
    <row r="105" spans="2:10" ht="75">
      <c r="B105" s="121" t="s">
        <v>4</v>
      </c>
      <c r="C105" s="130">
        <v>1020</v>
      </c>
      <c r="D105" s="126" t="s">
        <v>41</v>
      </c>
      <c r="E105" s="127" t="s">
        <v>153</v>
      </c>
      <c r="F105" s="127" t="s">
        <v>234</v>
      </c>
      <c r="G105" s="81">
        <v>93100</v>
      </c>
      <c r="H105" s="81"/>
      <c r="I105" s="81"/>
      <c r="J105" s="81">
        <v>93100</v>
      </c>
    </row>
    <row r="106" spans="2:10" ht="30">
      <c r="B106" s="121" t="s">
        <v>3</v>
      </c>
      <c r="C106" s="130">
        <v>1010</v>
      </c>
      <c r="D106" s="126" t="s">
        <v>40</v>
      </c>
      <c r="E106" s="127" t="s">
        <v>491</v>
      </c>
      <c r="F106" s="127" t="s">
        <v>235</v>
      </c>
      <c r="G106" s="81">
        <v>19436</v>
      </c>
      <c r="H106" s="81"/>
      <c r="I106" s="81"/>
      <c r="J106" s="81">
        <v>19436</v>
      </c>
    </row>
    <row r="107" spans="2:10" ht="75">
      <c r="B107" s="121" t="s">
        <v>4</v>
      </c>
      <c r="C107" s="130">
        <v>1020</v>
      </c>
      <c r="D107" s="126" t="s">
        <v>41</v>
      </c>
      <c r="E107" s="127" t="s">
        <v>153</v>
      </c>
      <c r="F107" s="127" t="s">
        <v>117</v>
      </c>
      <c r="G107" s="81">
        <v>977000</v>
      </c>
      <c r="H107" s="81"/>
      <c r="I107" s="81"/>
      <c r="J107" s="81">
        <v>977000</v>
      </c>
    </row>
    <row r="108" spans="2:10" ht="24.75" customHeight="1">
      <c r="B108" s="82"/>
      <c r="C108" s="82"/>
      <c r="D108" s="90"/>
      <c r="E108" s="79" t="s">
        <v>108</v>
      </c>
      <c r="F108" s="86"/>
      <c r="G108" s="86">
        <f>SUM(G8:G107)</f>
        <v>23052870.14</v>
      </c>
      <c r="H108" s="86"/>
      <c r="I108" s="86"/>
      <c r="J108" s="86">
        <f>SUM(J8:J107)</f>
        <v>23052870.14</v>
      </c>
    </row>
    <row r="110" spans="2:17" ht="42.75" customHeight="1">
      <c r="B110" s="223" t="s">
        <v>290</v>
      </c>
      <c r="C110" s="223"/>
      <c r="D110" s="223"/>
      <c r="E110" s="223"/>
      <c r="F110" s="223"/>
      <c r="G110" s="223"/>
      <c r="H110" s="223"/>
      <c r="I110" s="223"/>
      <c r="J110" s="223"/>
      <c r="K110" s="223"/>
      <c r="L110" s="223"/>
      <c r="M110" s="223"/>
      <c r="N110" s="223"/>
      <c r="O110" s="223"/>
      <c r="P110" s="223"/>
      <c r="Q110" s="223"/>
    </row>
    <row r="111" spans="2:17" ht="20.25" customHeight="1">
      <c r="B111" s="246"/>
      <c r="C111" s="246"/>
      <c r="D111" s="246"/>
      <c r="E111" s="246"/>
      <c r="F111" s="246"/>
      <c r="G111" s="246"/>
      <c r="H111" s="246"/>
      <c r="I111" s="246"/>
      <c r="J111" s="246"/>
      <c r="K111" s="246"/>
      <c r="L111" s="246"/>
      <c r="M111" s="246"/>
      <c r="N111" s="246"/>
      <c r="O111" s="246"/>
      <c r="P111" s="246"/>
      <c r="Q111" s="246"/>
    </row>
    <row r="112" spans="2:17" ht="20.25" customHeight="1">
      <c r="B112" s="222"/>
      <c r="C112" s="222"/>
      <c r="D112" s="222"/>
      <c r="E112" s="222"/>
      <c r="F112" s="222"/>
      <c r="G112" s="222"/>
      <c r="H112" s="222"/>
      <c r="I112" s="222"/>
      <c r="J112" s="222"/>
      <c r="K112" s="222"/>
      <c r="L112" s="222"/>
      <c r="M112" s="222"/>
      <c r="N112" s="222"/>
      <c r="O112" s="222"/>
      <c r="P112" s="222"/>
      <c r="Q112" s="222"/>
    </row>
    <row r="113" spans="2:17" ht="36.75" customHeight="1">
      <c r="B113" s="246"/>
      <c r="C113" s="246"/>
      <c r="D113" s="246"/>
      <c r="E113" s="246"/>
      <c r="F113" s="246"/>
      <c r="G113" s="246"/>
      <c r="H113" s="246"/>
      <c r="I113" s="246"/>
      <c r="J113" s="246"/>
      <c r="K113" s="112"/>
      <c r="L113" s="112"/>
      <c r="M113" s="112"/>
      <c r="N113" s="112"/>
      <c r="O113" s="112"/>
      <c r="P113" s="112"/>
      <c r="Q113" s="112"/>
    </row>
    <row r="114" spans="2:17" ht="21" customHeight="1">
      <c r="B114" s="222"/>
      <c r="C114" s="222"/>
      <c r="D114" s="222"/>
      <c r="E114" s="222"/>
      <c r="F114" s="222"/>
      <c r="G114" s="222"/>
      <c r="H114" s="222"/>
      <c r="I114" s="222"/>
      <c r="J114" s="222"/>
      <c r="K114" s="222"/>
      <c r="L114" s="222"/>
      <c r="M114" s="222"/>
      <c r="N114" s="222"/>
      <c r="O114" s="222"/>
      <c r="P114" s="222"/>
      <c r="Q114" s="222"/>
    </row>
  </sheetData>
  <sheetProtection/>
  <mergeCells count="8">
    <mergeCell ref="B114:Q114"/>
    <mergeCell ref="B113:J113"/>
    <mergeCell ref="B111:Q111"/>
    <mergeCell ref="B110:Q110"/>
    <mergeCell ref="G2:J2"/>
    <mergeCell ref="B1:J1"/>
    <mergeCell ref="B3:J3"/>
    <mergeCell ref="B112:Q112"/>
  </mergeCells>
  <printOptions horizontalCentered="1"/>
  <pageMargins left="0.8267716535433072" right="0" top="0.31496062992125984" bottom="0.31496062992125984" header="0.2362204724409449" footer="0.1968503937007874"/>
  <pageSetup horizontalDpi="600" verticalDpi="600" orientation="landscape" paperSize="9" scale="65" r:id="rId1"/>
  <headerFooter alignWithMargins="0">
    <oddFooter>&amp;R&amp;P</oddFooter>
  </headerFooter>
  <rowBreaks count="10" manualBreakCount="10">
    <brk id="18" min="1" max="10" man="1"/>
    <brk id="30" min="1" max="10" man="1"/>
    <brk id="43" min="1" max="10" man="1"/>
    <brk id="55" min="1" max="10" man="1"/>
    <brk id="69" min="1" max="10" man="1"/>
    <brk id="81" min="1" max="10" man="1"/>
    <brk id="94" min="1" max="10" man="1"/>
    <brk id="106" min="1" max="10" man="1"/>
    <brk id="112" min="1" max="10" man="1"/>
    <brk id="114" max="9" man="1"/>
  </rowBreaks>
</worksheet>
</file>

<file path=xl/worksheets/sheet7.xml><?xml version="1.0" encoding="utf-8"?>
<worksheet xmlns="http://schemas.openxmlformats.org/spreadsheetml/2006/main" xmlns:r="http://schemas.openxmlformats.org/officeDocument/2006/relationships">
  <dimension ref="A1:R54"/>
  <sheetViews>
    <sheetView view="pageBreakPreview" zoomScaleSheetLayoutView="100" zoomScalePageLayoutView="0" workbookViewId="0" topLeftCell="B1">
      <selection activeCell="B3" sqref="B3:I3"/>
    </sheetView>
  </sheetViews>
  <sheetFormatPr defaultColWidth="9.16015625" defaultRowHeight="12.75"/>
  <cols>
    <col min="1" max="1" width="3.83203125" style="6" hidden="1" customWidth="1"/>
    <col min="2" max="2" width="16.5" style="87" customWidth="1"/>
    <col min="3" max="3" width="15.5" style="87" customWidth="1"/>
    <col min="4" max="4" width="17.83203125" style="87" customWidth="1"/>
    <col min="5" max="5" width="51.66015625" style="6" customWidth="1"/>
    <col min="6" max="6" width="45" style="6" customWidth="1"/>
    <col min="7" max="8" width="21.16015625" style="6" customWidth="1"/>
    <col min="9" max="9" width="24.66015625" style="6" customWidth="1"/>
    <col min="10" max="10" width="0.82421875" style="5" customWidth="1"/>
    <col min="11" max="16384" width="9.16015625" style="5" customWidth="1"/>
  </cols>
  <sheetData>
    <row r="1" spans="1:9" s="51" customFormat="1" ht="13.5" customHeight="1">
      <c r="A1" s="50"/>
      <c r="B1" s="200"/>
      <c r="C1" s="200"/>
      <c r="D1" s="200"/>
      <c r="E1" s="200"/>
      <c r="F1" s="200"/>
      <c r="G1" s="200"/>
      <c r="H1" s="200"/>
      <c r="I1" s="200"/>
    </row>
    <row r="2" spans="7:9" ht="63" customHeight="1">
      <c r="G2" s="217" t="s">
        <v>116</v>
      </c>
      <c r="H2" s="217"/>
      <c r="I2" s="217"/>
    </row>
    <row r="3" spans="1:9" ht="61.5" customHeight="1">
      <c r="A3" s="2"/>
      <c r="B3" s="204" t="s">
        <v>158</v>
      </c>
      <c r="C3" s="205"/>
      <c r="D3" s="205"/>
      <c r="E3" s="205"/>
      <c r="F3" s="205"/>
      <c r="G3" s="205"/>
      <c r="H3" s="205"/>
      <c r="I3" s="205"/>
    </row>
    <row r="4" spans="2:9" ht="18.75">
      <c r="B4" s="88"/>
      <c r="C4" s="89"/>
      <c r="D4" s="89"/>
      <c r="E4" s="7"/>
      <c r="F4" s="105"/>
      <c r="G4" s="105"/>
      <c r="H4" s="106"/>
      <c r="I4" s="77" t="s">
        <v>29</v>
      </c>
    </row>
    <row r="5" spans="1:9" ht="107.25" customHeight="1">
      <c r="A5" s="91"/>
      <c r="B5" s="107" t="s">
        <v>130</v>
      </c>
      <c r="C5" s="107" t="s">
        <v>131</v>
      </c>
      <c r="D5" s="60" t="s">
        <v>138</v>
      </c>
      <c r="E5" s="108" t="s">
        <v>129</v>
      </c>
      <c r="F5" s="78" t="s">
        <v>122</v>
      </c>
      <c r="G5" s="109" t="s">
        <v>87</v>
      </c>
      <c r="H5" s="78" t="s">
        <v>88</v>
      </c>
      <c r="I5" s="78" t="s">
        <v>123</v>
      </c>
    </row>
    <row r="6" spans="1:9" s="39" customFormat="1" ht="22.5" customHeight="1">
      <c r="A6" s="38"/>
      <c r="B6" s="121" t="s">
        <v>106</v>
      </c>
      <c r="C6" s="121"/>
      <c r="D6" s="121"/>
      <c r="E6" s="122" t="s">
        <v>139</v>
      </c>
      <c r="F6" s="80"/>
      <c r="G6" s="80"/>
      <c r="H6" s="80"/>
      <c r="I6" s="80"/>
    </row>
    <row r="7" spans="2:9" ht="28.5" customHeight="1">
      <c r="B7" s="121" t="s">
        <v>96</v>
      </c>
      <c r="C7" s="121"/>
      <c r="D7" s="121"/>
      <c r="E7" s="122" t="s">
        <v>139</v>
      </c>
      <c r="F7" s="81"/>
      <c r="G7" s="81"/>
      <c r="H7" s="81"/>
      <c r="I7" s="81"/>
    </row>
    <row r="8" spans="2:9" ht="30">
      <c r="B8" s="121" t="s">
        <v>471</v>
      </c>
      <c r="C8" s="126" t="s">
        <v>49</v>
      </c>
      <c r="D8" s="126" t="s">
        <v>144</v>
      </c>
      <c r="E8" s="127" t="s">
        <v>145</v>
      </c>
      <c r="F8" s="83" t="s">
        <v>197</v>
      </c>
      <c r="G8" s="125">
        <v>4226008</v>
      </c>
      <c r="H8" s="125">
        <v>674311</v>
      </c>
      <c r="I8" s="81">
        <f>G8+H8</f>
        <v>4900319</v>
      </c>
    </row>
    <row r="9" spans="2:9" ht="75">
      <c r="B9" s="121" t="s">
        <v>483</v>
      </c>
      <c r="C9" s="126" t="s">
        <v>484</v>
      </c>
      <c r="D9" s="126" t="s">
        <v>148</v>
      </c>
      <c r="E9" s="127" t="s">
        <v>149</v>
      </c>
      <c r="F9" s="83" t="s">
        <v>198</v>
      </c>
      <c r="G9" s="84"/>
      <c r="H9" s="84">
        <v>73208</v>
      </c>
      <c r="I9" s="81">
        <f aca="true" t="shared" si="0" ref="I9:I20">G9+H9</f>
        <v>73208</v>
      </c>
    </row>
    <row r="10" spans="2:9" ht="60">
      <c r="B10" s="121" t="s">
        <v>479</v>
      </c>
      <c r="C10" s="126" t="s">
        <v>480</v>
      </c>
      <c r="D10" s="126" t="s">
        <v>146</v>
      </c>
      <c r="E10" s="127" t="s">
        <v>188</v>
      </c>
      <c r="F10" s="83" t="s">
        <v>199</v>
      </c>
      <c r="G10" s="84"/>
      <c r="H10" s="84">
        <v>200000</v>
      </c>
      <c r="I10" s="81">
        <f t="shared" si="0"/>
        <v>200000</v>
      </c>
    </row>
    <row r="11" spans="2:9" ht="60">
      <c r="B11" s="121" t="s">
        <v>164</v>
      </c>
      <c r="C11" s="126" t="s">
        <v>39</v>
      </c>
      <c r="D11" s="126" t="s">
        <v>147</v>
      </c>
      <c r="E11" s="127" t="s">
        <v>172</v>
      </c>
      <c r="F11" s="83" t="s">
        <v>25</v>
      </c>
      <c r="G11" s="84">
        <v>335264</v>
      </c>
      <c r="H11" s="84">
        <v>11125</v>
      </c>
      <c r="I11" s="81">
        <f t="shared" si="0"/>
        <v>346389</v>
      </c>
    </row>
    <row r="12" spans="2:9" ht="30">
      <c r="B12" s="121" t="s">
        <v>166</v>
      </c>
      <c r="C12" s="126" t="s">
        <v>167</v>
      </c>
      <c r="D12" s="126" t="s">
        <v>140</v>
      </c>
      <c r="E12" s="127" t="s">
        <v>168</v>
      </c>
      <c r="F12" s="83" t="s">
        <v>26</v>
      </c>
      <c r="G12" s="81">
        <v>555000</v>
      </c>
      <c r="H12" s="81"/>
      <c r="I12" s="81">
        <v>455000</v>
      </c>
    </row>
    <row r="13" spans="2:9" ht="45">
      <c r="B13" s="121" t="s">
        <v>468</v>
      </c>
      <c r="C13" s="126" t="s">
        <v>469</v>
      </c>
      <c r="D13" s="126" t="s">
        <v>142</v>
      </c>
      <c r="E13" s="127" t="s">
        <v>470</v>
      </c>
      <c r="F13" s="83" t="s">
        <v>200</v>
      </c>
      <c r="G13" s="81">
        <v>20000</v>
      </c>
      <c r="H13" s="81"/>
      <c r="I13" s="81">
        <f t="shared" si="0"/>
        <v>20000</v>
      </c>
    </row>
    <row r="14" spans="2:9" ht="45">
      <c r="B14" s="121" t="s">
        <v>184</v>
      </c>
      <c r="C14" s="130">
        <v>3131</v>
      </c>
      <c r="D14" s="126" t="s">
        <v>142</v>
      </c>
      <c r="E14" s="127" t="s">
        <v>189</v>
      </c>
      <c r="F14" s="83" t="s">
        <v>27</v>
      </c>
      <c r="G14" s="84">
        <v>100000</v>
      </c>
      <c r="H14" s="84"/>
      <c r="I14" s="81">
        <f t="shared" si="0"/>
        <v>100000</v>
      </c>
    </row>
    <row r="15" spans="2:9" ht="75">
      <c r="B15" s="121" t="s">
        <v>481</v>
      </c>
      <c r="C15" s="126" t="s">
        <v>482</v>
      </c>
      <c r="D15" s="126" t="s">
        <v>35</v>
      </c>
      <c r="E15" s="127" t="s">
        <v>187</v>
      </c>
      <c r="F15" s="83" t="s">
        <v>28</v>
      </c>
      <c r="G15" s="184">
        <v>896915</v>
      </c>
      <c r="H15" s="84"/>
      <c r="I15" s="81">
        <f t="shared" si="0"/>
        <v>896915</v>
      </c>
    </row>
    <row r="16" spans="2:9" ht="75">
      <c r="B16" s="121" t="s">
        <v>474</v>
      </c>
      <c r="C16" s="126" t="s">
        <v>475</v>
      </c>
      <c r="D16" s="126" t="s">
        <v>35</v>
      </c>
      <c r="E16" s="127" t="s">
        <v>476</v>
      </c>
      <c r="F16" s="83" t="s">
        <v>28</v>
      </c>
      <c r="G16" s="184">
        <v>298942</v>
      </c>
      <c r="H16" s="84"/>
      <c r="I16" s="81">
        <v>298942</v>
      </c>
    </row>
    <row r="17" spans="2:9" ht="75">
      <c r="B17" s="121" t="s">
        <v>461</v>
      </c>
      <c r="C17" s="126" t="s">
        <v>462</v>
      </c>
      <c r="D17" s="126" t="s">
        <v>35</v>
      </c>
      <c r="E17" s="127" t="s">
        <v>463</v>
      </c>
      <c r="F17" s="83" t="s">
        <v>28</v>
      </c>
      <c r="G17" s="184">
        <v>522733</v>
      </c>
      <c r="H17" s="84"/>
      <c r="I17" s="81">
        <v>522733</v>
      </c>
    </row>
    <row r="18" spans="2:9" ht="45.75" thickBot="1">
      <c r="B18" s="121" t="s">
        <v>176</v>
      </c>
      <c r="C18" s="126" t="s">
        <v>177</v>
      </c>
      <c r="D18" s="126" t="s">
        <v>467</v>
      </c>
      <c r="E18" s="127" t="s">
        <v>178</v>
      </c>
      <c r="F18" s="83" t="s">
        <v>201</v>
      </c>
      <c r="G18" s="84">
        <v>62000</v>
      </c>
      <c r="H18" s="84"/>
      <c r="I18" s="81">
        <f t="shared" si="0"/>
        <v>62000</v>
      </c>
    </row>
    <row r="19" spans="2:9" ht="30.75" thickBot="1">
      <c r="B19" s="121" t="s">
        <v>162</v>
      </c>
      <c r="C19" s="126" t="s">
        <v>163</v>
      </c>
      <c r="D19" s="126" t="s">
        <v>144</v>
      </c>
      <c r="E19" s="189" t="s">
        <v>432</v>
      </c>
      <c r="F19" s="190" t="s">
        <v>196</v>
      </c>
      <c r="G19" s="187">
        <v>17700</v>
      </c>
      <c r="H19" s="187">
        <v>774414</v>
      </c>
      <c r="I19" s="81">
        <f t="shared" si="0"/>
        <v>792114</v>
      </c>
    </row>
    <row r="20" spans="2:9" ht="45.75" thickBot="1">
      <c r="B20" s="121" t="s">
        <v>286</v>
      </c>
      <c r="C20" s="126" t="s">
        <v>287</v>
      </c>
      <c r="D20" s="126" t="s">
        <v>231</v>
      </c>
      <c r="E20" s="127" t="s">
        <v>266</v>
      </c>
      <c r="F20" s="190" t="s">
        <v>196</v>
      </c>
      <c r="G20" s="187"/>
      <c r="H20" s="187">
        <v>303000</v>
      </c>
      <c r="I20" s="81">
        <f t="shared" si="0"/>
        <v>303000</v>
      </c>
    </row>
    <row r="21" spans="2:9" ht="60.75" thickBot="1">
      <c r="B21" s="121" t="s">
        <v>227</v>
      </c>
      <c r="C21" s="126" t="s">
        <v>228</v>
      </c>
      <c r="D21" s="126" t="s">
        <v>231</v>
      </c>
      <c r="E21" s="127" t="s">
        <v>229</v>
      </c>
      <c r="F21" s="190" t="s">
        <v>196</v>
      </c>
      <c r="G21" s="187"/>
      <c r="H21" s="125">
        <f>236529+125829+45823.46+42451.68+13700+889105</f>
        <v>1353438.1400000001</v>
      </c>
      <c r="I21" s="125">
        <f>236529+125829+45823.46+42451.68+13700+889105</f>
        <v>1353438.1400000001</v>
      </c>
    </row>
    <row r="22" spans="2:9" ht="75.75" thickBot="1">
      <c r="B22" s="121" t="s">
        <v>212</v>
      </c>
      <c r="C22" s="126" t="s">
        <v>213</v>
      </c>
      <c r="D22" s="126" t="s">
        <v>39</v>
      </c>
      <c r="E22" s="189" t="s">
        <v>214</v>
      </c>
      <c r="F22" s="191" t="s">
        <v>28</v>
      </c>
      <c r="G22" s="187">
        <v>30000</v>
      </c>
      <c r="H22" s="187"/>
      <c r="I22" s="81">
        <v>30000</v>
      </c>
    </row>
    <row r="23" spans="2:9" ht="45">
      <c r="B23" s="121" t="s">
        <v>215</v>
      </c>
      <c r="C23" s="126" t="s">
        <v>216</v>
      </c>
      <c r="D23" s="126" t="s">
        <v>230</v>
      </c>
      <c r="E23" s="127" t="s">
        <v>217</v>
      </c>
      <c r="F23" s="192" t="s">
        <v>233</v>
      </c>
      <c r="G23" s="187">
        <v>233840</v>
      </c>
      <c r="H23" s="187"/>
      <c r="I23" s="81">
        <v>233840</v>
      </c>
    </row>
    <row r="24" spans="2:9" ht="75">
      <c r="B24" s="121" t="s">
        <v>218</v>
      </c>
      <c r="C24" s="126" t="s">
        <v>219</v>
      </c>
      <c r="D24" s="126" t="s">
        <v>230</v>
      </c>
      <c r="E24" s="127" t="s">
        <v>220</v>
      </c>
      <c r="F24" s="193" t="s">
        <v>236</v>
      </c>
      <c r="G24" s="187">
        <v>101000</v>
      </c>
      <c r="H24" s="187"/>
      <c r="I24" s="81">
        <v>101000</v>
      </c>
    </row>
    <row r="25" spans="2:9" ht="60">
      <c r="B25" s="121" t="s">
        <v>221</v>
      </c>
      <c r="C25" s="126" t="s">
        <v>222</v>
      </c>
      <c r="D25" s="126" t="s">
        <v>144</v>
      </c>
      <c r="E25" s="127" t="s">
        <v>223</v>
      </c>
      <c r="F25" s="193" t="s">
        <v>237</v>
      </c>
      <c r="G25" s="187">
        <v>224100</v>
      </c>
      <c r="H25" s="187"/>
      <c r="I25" s="81">
        <v>224100</v>
      </c>
    </row>
    <row r="26" spans="2:9" ht="75">
      <c r="B26" s="121" t="s">
        <v>165</v>
      </c>
      <c r="C26" s="126" t="s">
        <v>39</v>
      </c>
      <c r="D26" s="126" t="s">
        <v>147</v>
      </c>
      <c r="E26" s="127" t="s">
        <v>172</v>
      </c>
      <c r="F26" s="191" t="s">
        <v>28</v>
      </c>
      <c r="G26" s="187">
        <v>53600</v>
      </c>
      <c r="H26" s="187"/>
      <c r="I26" s="81">
        <v>53600</v>
      </c>
    </row>
    <row r="27" spans="2:9" ht="75">
      <c r="B27" s="121" t="s">
        <v>259</v>
      </c>
      <c r="C27" s="126" t="s">
        <v>260</v>
      </c>
      <c r="D27" s="126" t="s">
        <v>269</v>
      </c>
      <c r="E27" s="189" t="s">
        <v>255</v>
      </c>
      <c r="F27" s="83" t="s">
        <v>254</v>
      </c>
      <c r="G27" s="187">
        <v>40000</v>
      </c>
      <c r="H27" s="187"/>
      <c r="I27" s="81">
        <v>40000</v>
      </c>
    </row>
    <row r="28" spans="2:9" ht="60">
      <c r="B28" s="121" t="s">
        <v>251</v>
      </c>
      <c r="C28" s="126" t="s">
        <v>252</v>
      </c>
      <c r="D28" s="126" t="s">
        <v>268</v>
      </c>
      <c r="E28" s="127" t="s">
        <v>256</v>
      </c>
      <c r="F28" s="83" t="s">
        <v>257</v>
      </c>
      <c r="G28" s="187">
        <v>8100</v>
      </c>
      <c r="H28" s="187"/>
      <c r="I28" s="81">
        <v>8100</v>
      </c>
    </row>
    <row r="29" spans="2:9" ht="90">
      <c r="B29" s="121" t="s">
        <v>251</v>
      </c>
      <c r="C29" s="126" t="s">
        <v>252</v>
      </c>
      <c r="D29" s="126" t="s">
        <v>268</v>
      </c>
      <c r="E29" s="127" t="s">
        <v>256</v>
      </c>
      <c r="F29" s="83" t="s">
        <v>258</v>
      </c>
      <c r="G29" s="187">
        <v>35000</v>
      </c>
      <c r="H29" s="187"/>
      <c r="I29" s="81">
        <v>35000</v>
      </c>
    </row>
    <row r="30" spans="2:9" ht="60">
      <c r="B30" s="121" t="s">
        <v>224</v>
      </c>
      <c r="C30" s="126" t="s">
        <v>225</v>
      </c>
      <c r="D30" s="126" t="s">
        <v>232</v>
      </c>
      <c r="E30" s="127" t="s">
        <v>226</v>
      </c>
      <c r="F30" s="194" t="s">
        <v>261</v>
      </c>
      <c r="G30" s="187"/>
      <c r="H30" s="187">
        <v>490000</v>
      </c>
      <c r="I30" s="81">
        <v>490000</v>
      </c>
    </row>
    <row r="31" spans="2:9" ht="90">
      <c r="B31" s="121" t="s">
        <v>212</v>
      </c>
      <c r="C31" s="126" t="s">
        <v>213</v>
      </c>
      <c r="D31" s="126" t="s">
        <v>39</v>
      </c>
      <c r="E31" s="189" t="s">
        <v>214</v>
      </c>
      <c r="F31" s="194" t="s">
        <v>262</v>
      </c>
      <c r="G31" s="187">
        <v>10000</v>
      </c>
      <c r="H31" s="187"/>
      <c r="I31" s="81">
        <v>10000</v>
      </c>
    </row>
    <row r="32" spans="2:9" ht="75">
      <c r="B32" s="121" t="s">
        <v>169</v>
      </c>
      <c r="C32" s="126" t="s">
        <v>170</v>
      </c>
      <c r="D32" s="126" t="s">
        <v>38</v>
      </c>
      <c r="E32" s="127" t="s">
        <v>171</v>
      </c>
      <c r="F32" s="182" t="s">
        <v>291</v>
      </c>
      <c r="G32" s="187">
        <v>170000</v>
      </c>
      <c r="H32" s="187"/>
      <c r="I32" s="81">
        <v>170000</v>
      </c>
    </row>
    <row r="33" spans="2:9" ht="75">
      <c r="B33" s="121" t="s">
        <v>306</v>
      </c>
      <c r="C33" s="130">
        <v>3140</v>
      </c>
      <c r="D33" s="126" t="s">
        <v>307</v>
      </c>
      <c r="E33" s="127" t="s">
        <v>308</v>
      </c>
      <c r="F33" s="83" t="s">
        <v>27</v>
      </c>
      <c r="G33" s="187">
        <f>225000+7700</f>
        <v>232700</v>
      </c>
      <c r="H33" s="187"/>
      <c r="I33" s="81">
        <v>232700</v>
      </c>
    </row>
    <row r="34" spans="2:9" ht="60">
      <c r="B34" s="121" t="s">
        <v>310</v>
      </c>
      <c r="C34" s="130">
        <v>5051</v>
      </c>
      <c r="D34" s="126" t="s">
        <v>44</v>
      </c>
      <c r="E34" s="127" t="s">
        <v>311</v>
      </c>
      <c r="F34" s="182" t="s">
        <v>312</v>
      </c>
      <c r="G34" s="187">
        <v>20000</v>
      </c>
      <c r="H34" s="187"/>
      <c r="I34" s="81">
        <v>20000</v>
      </c>
    </row>
    <row r="35" spans="2:9" ht="60">
      <c r="B35" s="121" t="s">
        <v>294</v>
      </c>
      <c r="C35" s="126" t="s">
        <v>295</v>
      </c>
      <c r="D35" s="126" t="s">
        <v>231</v>
      </c>
      <c r="E35" s="127" t="s">
        <v>296</v>
      </c>
      <c r="F35" s="193" t="s">
        <v>237</v>
      </c>
      <c r="G35" s="187"/>
      <c r="H35" s="187">
        <v>200000</v>
      </c>
      <c r="I35" s="81">
        <v>200000</v>
      </c>
    </row>
    <row r="36" spans="2:9" ht="30">
      <c r="B36" s="121" t="s">
        <v>143</v>
      </c>
      <c r="C36" s="126" t="s">
        <v>49</v>
      </c>
      <c r="D36" s="126" t="s">
        <v>144</v>
      </c>
      <c r="E36" s="127" t="s">
        <v>145</v>
      </c>
      <c r="F36" s="83" t="s">
        <v>316</v>
      </c>
      <c r="G36" s="187"/>
      <c r="H36" s="187">
        <v>40000</v>
      </c>
      <c r="I36" s="81">
        <v>40000</v>
      </c>
    </row>
    <row r="37" spans="2:9" ht="30">
      <c r="B37" s="121" t="s">
        <v>335</v>
      </c>
      <c r="C37" s="126" t="s">
        <v>336</v>
      </c>
      <c r="D37" s="126" t="s">
        <v>338</v>
      </c>
      <c r="E37" s="127" t="s">
        <v>337</v>
      </c>
      <c r="F37" s="182" t="s">
        <v>343</v>
      </c>
      <c r="G37" s="187">
        <v>42200</v>
      </c>
      <c r="H37" s="187"/>
      <c r="I37" s="81">
        <v>42200</v>
      </c>
    </row>
    <row r="38" spans="2:9" ht="184.5" customHeight="1">
      <c r="B38" s="121" t="s">
        <v>212</v>
      </c>
      <c r="C38" s="126" t="s">
        <v>213</v>
      </c>
      <c r="D38" s="126" t="s">
        <v>39</v>
      </c>
      <c r="E38" s="189" t="s">
        <v>214</v>
      </c>
      <c r="F38" s="83" t="s">
        <v>389</v>
      </c>
      <c r="G38" s="187">
        <v>50000</v>
      </c>
      <c r="H38" s="187"/>
      <c r="I38" s="81">
        <v>50000</v>
      </c>
    </row>
    <row r="39" spans="2:9" ht="78.75" customHeight="1">
      <c r="B39" s="121" t="s">
        <v>212</v>
      </c>
      <c r="C39" s="126" t="s">
        <v>213</v>
      </c>
      <c r="D39" s="126" t="s">
        <v>39</v>
      </c>
      <c r="E39" s="127" t="s">
        <v>214</v>
      </c>
      <c r="F39" s="83" t="s">
        <v>345</v>
      </c>
      <c r="G39" s="187">
        <v>55000</v>
      </c>
      <c r="H39" s="187"/>
      <c r="I39" s="187">
        <v>55000</v>
      </c>
    </row>
    <row r="40" spans="2:9" ht="78.75" customHeight="1">
      <c r="B40" s="121" t="s">
        <v>212</v>
      </c>
      <c r="C40" s="126" t="s">
        <v>213</v>
      </c>
      <c r="D40" s="126" t="s">
        <v>39</v>
      </c>
      <c r="E40" s="127" t="s">
        <v>214</v>
      </c>
      <c r="F40" s="194" t="s">
        <v>347</v>
      </c>
      <c r="G40" s="187">
        <v>3000</v>
      </c>
      <c r="H40" s="187"/>
      <c r="I40" s="187">
        <v>3000</v>
      </c>
    </row>
    <row r="41" spans="2:9" ht="43.5" customHeight="1">
      <c r="B41" s="121" t="s">
        <v>330</v>
      </c>
      <c r="C41" s="126" t="s">
        <v>331</v>
      </c>
      <c r="D41" s="126" t="s">
        <v>231</v>
      </c>
      <c r="E41" s="127" t="s">
        <v>332</v>
      </c>
      <c r="F41" s="194" t="s">
        <v>368</v>
      </c>
      <c r="G41" s="187">
        <v>12000</v>
      </c>
      <c r="H41" s="187"/>
      <c r="I41" s="187">
        <v>12000</v>
      </c>
    </row>
    <row r="42" spans="2:9" ht="90" customHeight="1">
      <c r="B42" s="121" t="s">
        <v>251</v>
      </c>
      <c r="C42" s="126" t="s">
        <v>252</v>
      </c>
      <c r="D42" s="126" t="s">
        <v>268</v>
      </c>
      <c r="E42" s="127" t="s">
        <v>256</v>
      </c>
      <c r="F42" s="194" t="s">
        <v>369</v>
      </c>
      <c r="G42" s="187">
        <v>10000</v>
      </c>
      <c r="H42" s="187"/>
      <c r="I42" s="187">
        <v>10000</v>
      </c>
    </row>
    <row r="43" spans="2:9" ht="84.75" customHeight="1">
      <c r="B43" s="121" t="s">
        <v>212</v>
      </c>
      <c r="C43" s="126" t="s">
        <v>213</v>
      </c>
      <c r="D43" s="126" t="s">
        <v>39</v>
      </c>
      <c r="E43" s="127" t="s">
        <v>214</v>
      </c>
      <c r="F43" s="194" t="s">
        <v>388</v>
      </c>
      <c r="G43" s="187">
        <v>37500</v>
      </c>
      <c r="H43" s="187"/>
      <c r="I43" s="187">
        <v>37500</v>
      </c>
    </row>
    <row r="44" spans="2:9" ht="77.25" customHeight="1">
      <c r="B44" s="121" t="s">
        <v>164</v>
      </c>
      <c r="C44" s="126" t="s">
        <v>39</v>
      </c>
      <c r="D44" s="126" t="s">
        <v>147</v>
      </c>
      <c r="E44" s="127" t="s">
        <v>172</v>
      </c>
      <c r="F44" s="194" t="s">
        <v>368</v>
      </c>
      <c r="G44" s="187">
        <v>30000</v>
      </c>
      <c r="H44" s="187"/>
      <c r="I44" s="187">
        <v>30000</v>
      </c>
    </row>
    <row r="45" spans="2:9" ht="132" customHeight="1">
      <c r="B45" s="121" t="s">
        <v>212</v>
      </c>
      <c r="C45" s="126" t="s">
        <v>213</v>
      </c>
      <c r="D45" s="126" t="s">
        <v>39</v>
      </c>
      <c r="E45" s="127" t="s">
        <v>214</v>
      </c>
      <c r="F45" s="194" t="s">
        <v>304</v>
      </c>
      <c r="G45" s="187">
        <v>34000</v>
      </c>
      <c r="H45" s="187"/>
      <c r="I45" s="187">
        <v>34000</v>
      </c>
    </row>
    <row r="46" spans="2:9" ht="33.75" customHeight="1">
      <c r="B46" s="82"/>
      <c r="C46" s="82"/>
      <c r="D46" s="90"/>
      <c r="E46" s="198" t="s">
        <v>108</v>
      </c>
      <c r="F46" s="199"/>
      <c r="G46" s="185">
        <f>SUM(G8:G45)</f>
        <v>8466602</v>
      </c>
      <c r="H46" s="86">
        <f>SUM(H8:H36)</f>
        <v>4119496.14</v>
      </c>
      <c r="I46" s="81">
        <f>G46+H46</f>
        <v>12586098.14</v>
      </c>
    </row>
    <row r="47" ht="18.75">
      <c r="F47" s="183"/>
    </row>
    <row r="48" spans="2:18" ht="15.75" customHeight="1">
      <c r="B48" s="5"/>
      <c r="C48" s="223" t="s">
        <v>290</v>
      </c>
      <c r="D48" s="223"/>
      <c r="E48" s="223"/>
      <c r="F48" s="223"/>
      <c r="G48" s="223"/>
      <c r="H48" s="223"/>
      <c r="I48" s="223"/>
      <c r="J48" s="223"/>
      <c r="K48" s="223"/>
      <c r="L48" s="223"/>
      <c r="M48" s="223"/>
      <c r="N48" s="223"/>
      <c r="O48" s="223"/>
      <c r="P48" s="223"/>
      <c r="Q48" s="223"/>
      <c r="R48" s="223"/>
    </row>
    <row r="50" spans="2:9" ht="23.25" customHeight="1">
      <c r="B50" s="247" t="s">
        <v>126</v>
      </c>
      <c r="C50" s="247"/>
      <c r="D50" s="247"/>
      <c r="E50" s="247"/>
      <c r="F50" s="247"/>
      <c r="G50" s="247"/>
      <c r="H50" s="247"/>
      <c r="I50" s="247"/>
    </row>
    <row r="51" spans="2:17" ht="20.25" customHeight="1">
      <c r="B51" s="246" t="s">
        <v>132</v>
      </c>
      <c r="C51" s="246"/>
      <c r="D51" s="246"/>
      <c r="E51" s="246"/>
      <c r="F51" s="246"/>
      <c r="G51" s="246"/>
      <c r="H51" s="246"/>
      <c r="I51" s="246"/>
      <c r="J51" s="111"/>
      <c r="K51" s="111"/>
      <c r="L51" s="111"/>
      <c r="M51" s="111"/>
      <c r="N51" s="111"/>
      <c r="O51" s="111"/>
      <c r="P51" s="111"/>
      <c r="Q51" s="111"/>
    </row>
    <row r="52" spans="2:17" ht="20.25" customHeight="1">
      <c r="B52" s="222" t="s">
        <v>135</v>
      </c>
      <c r="C52" s="222"/>
      <c r="D52" s="222"/>
      <c r="E52" s="222"/>
      <c r="F52" s="222"/>
      <c r="G52" s="222"/>
      <c r="H52" s="222"/>
      <c r="I52" s="222"/>
      <c r="J52" s="222"/>
      <c r="K52" s="222"/>
      <c r="L52" s="222"/>
      <c r="M52" s="222"/>
      <c r="N52" s="222"/>
      <c r="O52" s="222"/>
      <c r="P52" s="222"/>
      <c r="Q52" s="222"/>
    </row>
    <row r="53" spans="2:17" ht="30.75" customHeight="1">
      <c r="B53" s="246" t="s">
        <v>133</v>
      </c>
      <c r="C53" s="246"/>
      <c r="D53" s="246"/>
      <c r="E53" s="246"/>
      <c r="F53" s="246"/>
      <c r="G53" s="246"/>
      <c r="H53" s="246"/>
      <c r="I53" s="246"/>
      <c r="J53" s="111"/>
      <c r="K53" s="111"/>
      <c r="L53" s="111"/>
      <c r="M53" s="111"/>
      <c r="N53" s="111"/>
      <c r="O53" s="111"/>
      <c r="P53" s="111"/>
      <c r="Q53" s="111"/>
    </row>
    <row r="54" spans="2:17" ht="21" customHeight="1">
      <c r="B54" s="222" t="s">
        <v>137</v>
      </c>
      <c r="C54" s="222"/>
      <c r="D54" s="222"/>
      <c r="E54" s="222"/>
      <c r="F54" s="222"/>
      <c r="G54" s="222"/>
      <c r="H54" s="222"/>
      <c r="I54" s="222"/>
      <c r="J54" s="222"/>
      <c r="K54" s="222"/>
      <c r="L54" s="222"/>
      <c r="M54" s="222"/>
      <c r="N54" s="222"/>
      <c r="O54" s="222"/>
      <c r="P54" s="222"/>
      <c r="Q54" s="222"/>
    </row>
  </sheetData>
  <sheetProtection/>
  <mergeCells count="9">
    <mergeCell ref="B54:Q54"/>
    <mergeCell ref="B50:I50"/>
    <mergeCell ref="B1:I1"/>
    <mergeCell ref="G2:I2"/>
    <mergeCell ref="B3:I3"/>
    <mergeCell ref="B51:I51"/>
    <mergeCell ref="B53:I53"/>
    <mergeCell ref="B52:Q52"/>
    <mergeCell ref="C48:R48"/>
  </mergeCells>
  <printOptions/>
  <pageMargins left="0.7086614173228347" right="0.5118110236220472" top="0.35433070866141736" bottom="0.6299212598425197" header="0.35433070866141736" footer="0.35433070866141736"/>
  <pageSetup horizontalDpi="600" verticalDpi="600" orientation="landscape" paperSize="9" scale="65" r:id="rId1"/>
  <headerFooter alignWithMargins="0">
    <oddFooter>&amp;R&amp;P</oddFooter>
  </headerFooter>
  <rowBreaks count="1" manualBreakCount="1">
    <brk id="4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Luda</cp:lastModifiedBy>
  <cp:lastPrinted>2018-09-03T09:19:37Z</cp:lastPrinted>
  <dcterms:created xsi:type="dcterms:W3CDTF">2014-01-17T10:52:16Z</dcterms:created>
  <dcterms:modified xsi:type="dcterms:W3CDTF">2018-09-04T12:41:38Z</dcterms:modified>
  <cp:category/>
  <cp:version/>
  <cp:contentType/>
  <cp:contentStatus/>
</cp:coreProperties>
</file>