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1"/>
  </bookViews>
  <sheets>
    <sheet name="дод.1" sheetId="1" r:id="rId1"/>
    <sheet name="дод.2" sheetId="2" r:id="rId2"/>
    <sheet name="дод.3" sheetId="3" r:id="rId3"/>
    <sheet name="дод.4" sheetId="4" r:id="rId4"/>
    <sheet name="дод.5" sheetId="5" r:id="rId5"/>
    <sheet name="дод.6" sheetId="6" r:id="rId6"/>
    <sheet name="дод.7" sheetId="7" r:id="rId7"/>
  </sheets>
  <definedNames>
    <definedName name="_xlfn.AGGREGATE" hidden="1">#NAME?</definedName>
    <definedName name="OLE_LINK1" localSheetId="4">'дод.5'!$G$27</definedName>
    <definedName name="_xlnm.Print_Titles" localSheetId="0">'дод.1'!$A:$E,'дод.1'!#REF!</definedName>
    <definedName name="_xlnm.Print_Titles" localSheetId="1">'дод.2'!$6:$6</definedName>
    <definedName name="_xlnm.Print_Titles" localSheetId="2">'дод.3'!$5:$9</definedName>
    <definedName name="_xlnm.Print_Titles" localSheetId="5">'дод.6'!$E:$F,'дод.6'!#REF!</definedName>
    <definedName name="_xlnm.Print_Area" localSheetId="0">'дод.1'!$A$1:$F$104</definedName>
    <definedName name="_xlnm.Print_Area" localSheetId="1">'дод.2'!$A$2:$F$33</definedName>
    <definedName name="_xlnm.Print_Area" localSheetId="2">'дод.3'!$A$1:$Q$65</definedName>
    <definedName name="_xlnm.Print_Area" localSheetId="3">'дод.4'!$B$1:$Q$17</definedName>
    <definedName name="_xlnm.Print_Area" localSheetId="4">'дод.5'!$D$4:$W$18</definedName>
    <definedName name="_xlnm.Print_Area" localSheetId="5">'дод.6'!$B$1:$K$25</definedName>
    <definedName name="_xlnm.Print_Area" localSheetId="6">'дод.7'!$A$1:$K$43</definedName>
  </definedNames>
  <calcPr fullCalcOnLoad="1"/>
</workbook>
</file>

<file path=xl/sharedStrings.xml><?xml version="1.0" encoding="utf-8"?>
<sst xmlns="http://schemas.openxmlformats.org/spreadsheetml/2006/main" count="743" uniqueCount="423">
  <si>
    <t>Найменування об'єкта відповідно до проектно - кошторисної документації</t>
  </si>
  <si>
    <t>Строк реалізації об'єкта (рік початку і рік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</si>
  <si>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</si>
  <si>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</si>
  <si>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</si>
  <si>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</si>
  <si>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</si>
  <si>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Дата та номер документа, яким затверджено місцеву регіональну програму</t>
  </si>
  <si>
    <t>Усього</t>
  </si>
  <si>
    <t>у тому числі бюджет розвитку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</si>
  <si>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</si>
  <si>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</si>
  <si>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місцевих бюджетів
ТКВКБМС</t>
  </si>
  <si>
    <t>Надходження від пайової участі у розвитку інфраструктури населенного пункту</t>
  </si>
  <si>
    <t>Проведення  навчально - тренувалних зборів і змагань  з олімпійських видів спорту</t>
  </si>
  <si>
    <t>Відділ культури, національностей та релігій  Летичівської селищної ради</t>
  </si>
  <si>
    <t>Додаток 1</t>
  </si>
  <si>
    <t>(грн.)</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</si>
  <si>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</si>
  <si>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</si>
  <si>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</si>
  <si>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</si>
  <si>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</si>
  <si>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</si>
  <si>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</si>
  <si>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</si>
  <si>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</si>
  <si>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</si>
  <si>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</si>
  <si>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</si>
  <si>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</si>
  <si>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</si>
  <si>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</si>
  <si>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</si>
  <si>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</si>
  <si>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</si>
  <si>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</si>
  <si>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</si>
  <si>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</si>
  <si>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</si>
  <si>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</si>
  <si>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</si>
  <si>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</si>
  <si>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</si>
  <si>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</si>
  <si>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</si>
  <si>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</si>
  <si>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</si>
  <si>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</si>
  <si>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</si>
  <si>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</si>
  <si>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</si>
  <si>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</si>
  <si>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</si>
  <si>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</si>
  <si>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</si>
  <si>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</si>
  <si>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</si>
  <si>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</si>
  <si>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</si>
  <si>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</si>
  <si>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</si>
  <si>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</si>
  <si>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</si>
  <si>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</si>
  <si>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</si>
  <si>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</si>
  <si>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</si>
  <si>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</si>
  <si>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</si>
  <si>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</si>
  <si>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</si>
  <si>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</si>
  <si>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</si>
  <si>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</si>
  <si>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</si>
  <si>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</si>
  <si>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</si>
  <si>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0118130</t>
  </si>
  <si>
    <t>8130</t>
  </si>
  <si>
    <t>Забезпечення діяльності місцевої пожежної охорони</t>
  </si>
  <si>
    <t>0112111</t>
  </si>
  <si>
    <t>2111</t>
  </si>
  <si>
    <t>Первинна медична допомога  населенню, що  надається центрами первинної  медичної (медико - санітарної) допомоги</t>
  </si>
  <si>
    <t>0763</t>
  </si>
  <si>
    <t>0113121</t>
  </si>
  <si>
    <t>3121</t>
  </si>
  <si>
    <t>Утримання та забезпечення  діяльності  центрів соціальних служб для сім"ї, дітей та молоді</t>
  </si>
  <si>
    <t>0116030</t>
  </si>
  <si>
    <t>6030</t>
  </si>
  <si>
    <t>Організація благоустрою населених пунктів</t>
  </si>
  <si>
    <t>0118120</t>
  </si>
  <si>
    <t>8120</t>
  </si>
  <si>
    <t>Заходи з організації рятування на водах</t>
  </si>
  <si>
    <t>0118700</t>
  </si>
  <si>
    <t>8700</t>
  </si>
  <si>
    <t>0117350</t>
  </si>
  <si>
    <t>7350</t>
  </si>
  <si>
    <t>0118110</t>
  </si>
  <si>
    <t>8110</t>
  </si>
  <si>
    <t>0118312</t>
  </si>
  <si>
    <t>8312</t>
  </si>
  <si>
    <t>0119770</t>
  </si>
  <si>
    <t>9770</t>
  </si>
  <si>
    <t>Інші субвенції з місцевого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</si>
  <si>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</si>
  <si>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0119410</t>
  </si>
  <si>
    <t>9410</t>
  </si>
  <si>
    <t>Надання дошкільної  освіти</t>
  </si>
  <si>
    <t>Забезпечення діяльності бібліотек</t>
  </si>
  <si>
    <t>Забезпечення діяльності палаців і будинків культури, клубів, центрів дозвілля  та  інших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</si>
  <si>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</si>
  <si>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0600000</t>
  </si>
  <si>
    <t>0610000</t>
  </si>
  <si>
    <t>0611010</t>
  </si>
  <si>
    <t>0611020</t>
  </si>
  <si>
    <t>0611090</t>
  </si>
  <si>
    <t>0615031</t>
  </si>
  <si>
    <t>0615011</t>
  </si>
  <si>
    <t>0615012</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</si>
  <si>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</si>
  <si>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</si>
  <si>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</si>
  <si>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</si>
  <si>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</si>
  <si>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</si>
  <si>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</si>
  <si>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</si>
  <si>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</si>
  <si>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Адміністративний збір за державну  реєстрацію речових прав на нерухоме  майно та їх обтяжень</t>
  </si>
  <si>
    <t xml:space="preserve">Програма  захисту  населення  і  територій від  надзвичайних ситуацій техногенного та природного характеру  на території Летичівської селищної ради на 2016-2020 роки </t>
  </si>
  <si>
    <t>грн.</t>
  </si>
  <si>
    <t>Кошти від реалізації безхазяйного майна, знахідок, спадкового майна, майна, одержаного  територіальною громадою в порядку спадкування  чи дарування , а також валюьні цінності і грошові кошти,  власники яких невідомі</t>
  </si>
  <si>
    <t>Частина чистого прибутку (доходу) комунальних унітарних підприємств та їх об"єднань, що вилучається до відповідного місцевого бюджету</t>
  </si>
  <si>
    <t>0111</t>
  </si>
  <si>
    <t>1020</t>
  </si>
  <si>
    <t>0320</t>
  </si>
  <si>
    <t>0113104</t>
  </si>
  <si>
    <t>Туристичний збір, сплачений юридичними особами </t>
  </si>
  <si>
    <t>0456</t>
  </si>
  <si>
    <t>0180</t>
  </si>
  <si>
    <t>0910</t>
  </si>
  <si>
    <t>0921</t>
  </si>
  <si>
    <t>0960</t>
  </si>
  <si>
    <t>0990</t>
  </si>
  <si>
    <t>0810</t>
  </si>
  <si>
    <t>0829</t>
  </si>
  <si>
    <t>0824</t>
  </si>
  <si>
    <t>0828</t>
  </si>
  <si>
    <t>3104</t>
  </si>
  <si>
    <t>Летичівський районний бюджет</t>
  </si>
  <si>
    <t>Проведення  навчально - тренувалних зборів і змагань  з неолімпійських видів спорту</t>
  </si>
  <si>
    <t>200000</t>
  </si>
  <si>
    <t>Внутрішнє фінансування</t>
  </si>
  <si>
    <t xml:space="preserve">Фінансування за рахунок зміни залишків коштів селищного бюджету </t>
  </si>
  <si>
    <t xml:space="preserve">На початок періоду </t>
  </si>
  <si>
    <t>Кошти, що передаються із загального фонду бюджету до бюджету розвитку (спеціального фонду)</t>
  </si>
  <si>
    <t>Баланс</t>
  </si>
  <si>
    <t>Акцизний податок з вироблених в Україна підакцизних товаріві підакцизних товарів</t>
  </si>
  <si>
    <t>Акцизний податок з ввезенних на митну територію в України підакцизну продукцію</t>
  </si>
  <si>
    <t>Обласний бюджет</t>
  </si>
  <si>
    <t>Код</t>
  </si>
  <si>
    <t>Найменування 
згідно з класифікацією фінансування бюджету</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</si>
  <si>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</si>
  <si>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</si>
  <si>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</si>
  <si>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</si>
  <si>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</si>
  <si>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</si>
  <si>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</si>
  <si>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</si>
  <si>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</si>
  <si>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</si>
  <si>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</si>
  <si>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</si>
  <si>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</si>
  <si>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t>
  </si>
  <si>
    <t>Надання кредитів</t>
  </si>
  <si>
    <t>Повернення кредитів</t>
  </si>
  <si>
    <t>Кредитування-всього</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</si>
  <si>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</si>
  <si>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</si>
  <si>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</si>
  <si>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</si>
  <si>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</si>
  <si>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</si>
  <si>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</si>
  <si>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</si>
  <si>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0110000</t>
  </si>
  <si>
    <t>О5</t>
  </si>
  <si>
    <t>…</t>
  </si>
  <si>
    <t>0100000</t>
  </si>
  <si>
    <t>Найменування місцевої (регіональної) програми</t>
  </si>
  <si>
    <t>Місцеві податки</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</si>
  <si>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</si>
  <si>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r>
      <t>Код програмної класифікації видатків та кредитування місцевих бюджетів</t>
    </r>
    <r>
      <rPr>
        <vertAlign val="superscript"/>
        <sz val="8"/>
        <rFont val="Times New Roman"/>
        <family val="1"/>
      </rPr>
      <t>1</t>
    </r>
  </si>
  <si>
    <r>
      <t>Код програмної класифікації видатків та кредитування місцевих бюджетів</t>
    </r>
    <r>
      <rPr>
        <b/>
        <vertAlign val="superscript"/>
        <sz val="10"/>
        <rFont val="Times New Roman"/>
        <family val="1"/>
      </rPr>
      <t>2</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</si>
  <si>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</si>
  <si>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r>
      <rPr>
        <vertAlign val="superscript"/>
        <sz val="10"/>
        <rFont val="Times New Roman"/>
        <family val="1"/>
      </rPr>
      <t>3</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</si>
  <si>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</si>
  <si>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r>
      <rPr>
        <vertAlign val="superscript"/>
        <sz val="10"/>
        <rFont val="Times New Roman"/>
        <family val="1"/>
      </rPr>
      <t xml:space="preserve">4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</si>
  <si>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t>Летичівська селищна рада</t>
  </si>
  <si>
    <t>1090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</si>
  <si>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</si>
  <si>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1040</t>
  </si>
  <si>
    <t>0620</t>
  </si>
  <si>
    <t>0443</t>
  </si>
  <si>
    <t>0133</t>
  </si>
  <si>
    <t>0512</t>
  </si>
  <si>
    <t>Утилізація відходів</t>
  </si>
  <si>
    <t>Медична субвенція з державного бюджету місцевим бюджетам</t>
  </si>
  <si>
    <t>Резервний фонд</t>
  </si>
  <si>
    <t>Відділ освіти, молоді і спорту Летичівської селищної ради</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</si>
  <si>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</si>
  <si>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</si>
  <si>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Утримання та навчально - тренувальна  робота комунальних  дитячо-юнацьких спортивних шкіл</t>
  </si>
  <si>
    <t>0120180</t>
  </si>
  <si>
    <t>0110180</t>
  </si>
  <si>
    <t>0113242</t>
  </si>
  <si>
    <t>3242</t>
  </si>
  <si>
    <t>Інші заходи  у сфері  соціального захисту і соціального забезпечення</t>
  </si>
  <si>
    <t>0117461</t>
  </si>
  <si>
    <t>7461</t>
  </si>
  <si>
    <t>Утримання та розвиток автомобільних доріг та дорожньої  інфраструктури  за рахунок  коштів місцевого бюджету</t>
  </si>
  <si>
    <t>Інша діяльність у сфері державного управління</t>
  </si>
  <si>
    <t>Забезпечення діяльності інших  закладів  в галузі культури і мистецтва</t>
  </si>
  <si>
    <t>0112146</t>
  </si>
  <si>
    <t>2146</t>
  </si>
  <si>
    <t>0112152</t>
  </si>
  <si>
    <t>2152</t>
  </si>
  <si>
    <t>Інші програми та заходи у сфері  охорони здоров"я</t>
  </si>
  <si>
    <t>0611161</t>
  </si>
  <si>
    <t>Забезпечення діяльності інших  закладів у сфері освіти</t>
  </si>
  <si>
    <t>0613131</t>
  </si>
  <si>
    <t>0726</t>
  </si>
  <si>
    <t>Відшкодування вартості лікарських засобів для лікування окремих захворювань</t>
  </si>
  <si>
    <t>Заходи із запобігання та ліквідації  надзвичайних  ситуацій та наслідків стихійного лиха</t>
  </si>
  <si>
    <t>Розроблення  схем планування та забудови територій (містобудівної документації)</t>
  </si>
  <si>
    <t>Здійснення заходів  та реалізація  проектів на виконання  Державної цільової соціальної програми  "Молодь України"</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</si>
  <si>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</si>
  <si>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</si>
  <si>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</si>
  <si>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</si>
  <si>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Пальне</t>
  </si>
  <si>
    <t xml:space="preserve">Програма покращення надання медичної допомоги хворим, які потребують гемодіалізу на 2018-2020 роки </t>
  </si>
  <si>
    <t>0490</t>
  </si>
  <si>
    <t>Надання кредиту</t>
  </si>
  <si>
    <t>0118831</t>
  </si>
  <si>
    <t>8831</t>
  </si>
  <si>
    <t>1060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</si>
  <si>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</si>
  <si>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Секретар ради</t>
  </si>
  <si>
    <t>О.В.Попова</t>
  </si>
  <si>
    <t>Секретар ради                                                                                                                                             О.В.Попова</t>
  </si>
  <si>
    <t>Плата за розміщення тимчасово вільних коштів місцевого бюджету</t>
  </si>
  <si>
    <t>0117680</t>
  </si>
  <si>
    <t>7680</t>
  </si>
  <si>
    <t>Членські внески до асоціацій органів місцевого самоврядування</t>
  </si>
  <si>
    <t xml:space="preserve">Найменування бюджету - </t>
  </si>
  <si>
    <t>одержувача / надавача міжбюджетного трансферту</t>
  </si>
  <si>
    <t>Трансферти з інших місцевих бюджетів</t>
  </si>
  <si>
    <t>Трансферти іншим бюджетам</t>
  </si>
  <si>
    <t>дотація на:</t>
  </si>
  <si>
    <t>субвенції</t>
  </si>
  <si>
    <t>усього</t>
  </si>
  <si>
    <t>загального фонду на:</t>
  </si>
  <si>
    <t>спеціального фонду на:</t>
  </si>
  <si>
    <t>найменування трансферту*</t>
  </si>
  <si>
    <t>найменування трансферту**</t>
  </si>
  <si>
    <r>
      <t>РОЗПОДІЛ</t>
    </r>
    <r>
      <rPr>
        <b/>
        <sz val="14"/>
        <rFont val="Times New Roman"/>
        <family val="0"/>
      </rPr>
      <t xml:space="preserve">
видатків селищного  бюджету  на 2019 рік</t>
    </r>
  </si>
  <si>
    <t>0117110</t>
  </si>
  <si>
    <t>7110</t>
  </si>
  <si>
    <t>0421</t>
  </si>
  <si>
    <t>Реалізація програм в галузі сільського господарства</t>
  </si>
  <si>
    <t>Субвенція з місцевого бюджету за рахунок коштів освітньої субвенції на виплату заробітної плати педагогічним працівникам інклюзивно - ресурсного центру</t>
  </si>
  <si>
    <t>Доходи  на 2019 рік</t>
  </si>
  <si>
    <t>Фінансування  селищного  бюджету  Летичівської селищної ради на 2019 рік</t>
  </si>
  <si>
    <t>0118220</t>
  </si>
  <si>
    <t>8220</t>
  </si>
  <si>
    <t>0380</t>
  </si>
  <si>
    <t>Заходи та роботи з мобілізаційної підготовки місцевого значення</t>
  </si>
  <si>
    <t>Програма благоустрою  Летичівської селищної ради на 2019 рік</t>
  </si>
  <si>
    <t>Програма забезпечення екологічного безпечного збирання, перевезення, захоронення відходів у населених пунктах Летичівської обєднаної територіальної громади на 2019 рік</t>
  </si>
  <si>
    <t>Програма забезпечення містобудівною документацією населених пунктів на території Летичівської селищної ради на 2019 рік</t>
  </si>
  <si>
    <t>Рішення сесії № 7 від 23.12.2016 р</t>
  </si>
  <si>
    <t>Програма подальшого вдосконалення соціальної роботи у Летичівській ОТГ на 2017-2019  роки</t>
  </si>
  <si>
    <t>Рішення сесії № 6 від 31.03.2016 р</t>
  </si>
  <si>
    <t>Рішення сесії №14 від 22.12.2017 р</t>
  </si>
  <si>
    <t>рішення сесії селищної ради № 5 від 29.03.2018 року</t>
  </si>
  <si>
    <t>Прграма розвитку первинної медико - санітарної допомоги Летичівської селищної ради на 2019-2021 роки</t>
  </si>
  <si>
    <t>рішення сесії селищної ради № 5 від 30.11.2018 року</t>
  </si>
  <si>
    <t>Програма підтримки сільськогосподарських товаровиробників на території Летичівської селищної ради на 2019-2021 роки</t>
  </si>
  <si>
    <t>Програма фінансування заходів державного,обласного, місцевого  значення  у Летичівській селищній раді на 2019-2020 роки</t>
  </si>
  <si>
    <t xml:space="preserve">Комплексна програма профілактики правопорушень та боротьби зі злочинністю на території Летичівської селищної ради Хмельницької області на 2016-2020  роки   </t>
  </si>
  <si>
    <t>рішення сесії селищної ради № 4 від 06.01.2016 року</t>
  </si>
  <si>
    <t>Програма розвитку місцевого самоврядування на території Летичівської селищної об'єднаної територіальної громадина 2018-2020 роки</t>
  </si>
  <si>
    <t>рішення сесії селищної ради № 35 від 25.06.2018 року</t>
  </si>
  <si>
    <t>Капітальний ремонт  вул.Героїв Крут смт.Летичів</t>
  </si>
  <si>
    <t>Капітальний ремонт вул.Толстого смт.Летичів</t>
  </si>
  <si>
    <t>Капітальний ремонт вул.Маринюка смт.летичів</t>
  </si>
  <si>
    <t>Капітальний ремонт вул.Урожайна с.Гречинці Летичівського району</t>
  </si>
  <si>
    <t>Державний бюджет</t>
  </si>
  <si>
    <t>Селищний бюджет Меджибізької ОТГ</t>
  </si>
  <si>
    <t>5550200</t>
  </si>
  <si>
    <t>5323436</t>
  </si>
  <si>
    <t>38193600</t>
  </si>
  <si>
    <t>13426100</t>
  </si>
  <si>
    <t>661300</t>
  </si>
  <si>
    <t>176771</t>
  </si>
  <si>
    <t>153400</t>
  </si>
  <si>
    <t>Субвенція з місцевого бюджету на здійснення переданих видатків у сфері освіти за рахунок коштів освітньої субвенції</t>
  </si>
  <si>
    <t>Рентна плата за спеціальне використання  лісових ресурсів  в частині деревини, заготовленної в порядку  рубок  головного користування</t>
  </si>
  <si>
    <t xml:space="preserve">ПРОГРАМА забезпечення заходів щодо проведення призову громадян України  на строкову військову службу, призову на військову службу за контрактом  та по підготовці до мобілізації військовозобов’язаних  на території Летичівської селищної ради на 2018-2019 роки, та проведення ремонтних робіт Летичівського районного військового комісаріату
</t>
  </si>
  <si>
    <t>рішення сесії селищної ради № 21 від 18.11.2016 року</t>
  </si>
  <si>
    <t>Цільова програма розвитку фізичної культури і спорту на 2017-2021 роки</t>
  </si>
  <si>
    <t>Цільва програма "Молодь Летичівщини" на 2018-2022 роки</t>
  </si>
  <si>
    <t>рішення сесії селищної ради № 11 від 22.12.2017 року</t>
  </si>
  <si>
    <t>Разом  ДОХОДІВ</t>
  </si>
  <si>
    <t>Усього доходів (без урахування міжбюджетних трансфертів)</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</si>
  <si>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</si>
  <si>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</si>
  <si>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</si>
  <si>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</si>
  <si>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/підпрограми  згідно з Типовою  програмною класифікацією  видатків та кредитування місцевих бюджетів </t>
  </si>
  <si>
    <t>Кредитування селищного бюджету Летичівської селищної ради у  2019 році</t>
  </si>
  <si>
    <t>Міжбюджетні трансферти     на 2019 рік</t>
  </si>
  <si>
    <t>Розподіл коштів бюджету розвитку Летичівського селищного бюджету у 2019 році</t>
  </si>
  <si>
    <t>Розподіл витрат селищного  бюджету Летичівської селищної ради на реалізацію місцевих / регіональних програм у 2019 році</t>
  </si>
  <si>
    <t>Рішення сесії № 36 від 21.12.2018 р</t>
  </si>
  <si>
    <t>Рішення сесії № 13 від 21.12.2018 р</t>
  </si>
  <si>
    <t>Рішення сесії № 12від 21.12.2018 р</t>
  </si>
  <si>
    <t>Рішення сесії № 18 від 21.12.2018 р</t>
  </si>
  <si>
    <t>Рішення сесії №2 від 21.12.2018 р</t>
  </si>
  <si>
    <t>Рішення сесії № 4 від 21.12.2018 р</t>
  </si>
  <si>
    <t>Рішення сесії № 11 від 23.12.2016 р</t>
  </si>
  <si>
    <t>Програма "Турбота" Летичівської селищної ради на 2017-2019 роки</t>
  </si>
  <si>
    <t>Програма діяльності та розвитку Трудового архіву  Летичівської селищної ради Летичівського району Хмельницької області на 2019 - 2022 роки</t>
  </si>
  <si>
    <t xml:space="preserve">Усього </t>
  </si>
  <si>
    <t>УСЬОГО</t>
  </si>
  <si>
    <t>0113192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</si>
  <si>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</si>
  <si>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</si>
  <si>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</si>
  <si>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0117367</t>
  </si>
  <si>
    <t>7367</t>
  </si>
  <si>
    <t>Виконання інвестиційних проектів в рамках реалізації заходів, спрямованих на розвиток  системи охорони здоров'я у сільській місцевості (включаючи співфінансування)</t>
  </si>
  <si>
    <t>0117130</t>
  </si>
  <si>
    <t>7130</t>
  </si>
  <si>
    <t>Здійснення заходів з землеустрою</t>
  </si>
  <si>
    <t>Програма здійснення землеустрою на території Летичівської селищної ради на 2018-2019 роки</t>
  </si>
  <si>
    <t>0119800</t>
  </si>
  <si>
    <t>9800</t>
  </si>
  <si>
    <t>Субвенція з місцевого бюджету державному бюджету  на виконання  програм соціально - економічного та культурного розвитку  регіонів</t>
  </si>
  <si>
    <t>Надання фінансової підтримки громадським організаціям інвалідів і ветеранів, діяльність яких має соціальну спрямованність</t>
  </si>
  <si>
    <t>ПРОГРАМА соціальної підтримки, трудової і медичної реабілітації та інтеграції Летичівського районного товариства інвалідів Всеукраїнської організації інвалідів «Союз організацій інвалідів України</t>
  </si>
  <si>
    <t>«Програма соціальної підтримки, трудової і медичної реабілітації та інтеграції інвалідів по зору Летичівської ТПО УТОС  на 2016-2018 роки»</t>
  </si>
  <si>
    <t>«Програма соціальної, трудової, медичної реабілітаційної допомоги інвалідам другої світової  війни, учасникам бойових дій, учасникам війни, дітям війни, ветеранам праці, людям похилого віку  на 2016-2020 роки»</t>
  </si>
  <si>
    <t>0116013</t>
  </si>
  <si>
    <t>6013</t>
  </si>
  <si>
    <t>Забезпечення діяльності водопровідно - каналізаційного господарства</t>
  </si>
  <si>
    <t>Програма "Питна вода на 2016-2020 роки"</t>
  </si>
  <si>
    <t>0116020</t>
  </si>
  <si>
    <t>6020</t>
  </si>
  <si>
    <t>Забезпечення функціонування  підприємств, установ та організацій, що виробляють, виконують та/або надають житлово - комунальні послуги"</t>
  </si>
  <si>
    <t>Програма розвитку комунального госпрозрахункового підприємства "Злагода" Летичівської селищної ради на 2016-2018 роки</t>
  </si>
  <si>
    <t>рішення сесії селищної ради № 10 від 28.02.2018 року</t>
  </si>
  <si>
    <t>Завершення реконструкції Летичівської КНСК</t>
  </si>
  <si>
    <t>рішення сесії селищної ради № 9 від 31.10..2017 року</t>
  </si>
  <si>
    <t>рішення сесії селищної ради № 12 від 25.02.2016 року</t>
  </si>
  <si>
    <t>0117363</t>
  </si>
  <si>
    <t>7363</t>
  </si>
  <si>
    <t>Виконання інвестиційних програм в рамках здійснення заходів щодо соціально - економічного  розвитку окремих територій (включаючи співфінансування)</t>
  </si>
  <si>
    <t>Будівництво експлуатаційно - розвідувальної свердловини та мережі водопостачання по вул.Центральній та вул.Колгоспній в с.Гречинці</t>
  </si>
  <si>
    <t>Будівництво   розвідувальної свердловини та мережі водопостачання  в с.Сахни</t>
  </si>
  <si>
    <t>Будівництво мережі водопостачання по вул.Центральній в с.Майдан - Голенищівський</t>
  </si>
  <si>
    <t>Нове будівництво ліній електропередач для вуличного освітлення в с.Марківці</t>
  </si>
  <si>
    <t xml:space="preserve">Програма будівництва та реконструкції вуличного освітлення населених пунктів Летичівської об’єднаної територіальної громади на 2018-2019 роки
</t>
  </si>
  <si>
    <t>рішення сесії селищної ради № 18 від 25.06.2018 року</t>
  </si>
  <si>
    <t>1017363</t>
  </si>
  <si>
    <t>Капітальний ремонт КУ "Летичівський булинок культури</t>
  </si>
  <si>
    <t>рішення сесії селищної ради № 20 від 18.11.2016 року</t>
  </si>
  <si>
    <t>Кошти  субвенції, що передаються із загального фонду бюджету до бюджету розвитку (спеціального фонду)</t>
  </si>
  <si>
    <t>ради   на 2019 рік"</t>
  </si>
  <si>
    <t xml:space="preserve">" Про внесення змін до селищного  бюджету Летичівської селищної  </t>
  </si>
  <si>
    <t>рішення сесії селищної ради № 14 від 25.02.2016 року</t>
  </si>
  <si>
    <t>рішення сесії селищної ради № 11 від 21.12.2018 року</t>
  </si>
  <si>
    <t>рішення сесії селищної ради № 13 від 25.02.2016 року</t>
  </si>
  <si>
    <t xml:space="preserve">Кошти, що передаються із загального фонду бюджету до бюджету розвитку (спеціального фонду)  </t>
  </si>
  <si>
    <t>0611170</t>
  </si>
  <si>
    <t>Забезпечення діяльності інклюзивно ресурсних центрів"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</si>
  <si>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</si>
  <si>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Капітальний ремонт вул.Лікарської  в смт.Летичів</t>
  </si>
  <si>
    <t>0617361</t>
  </si>
  <si>
    <t>Співфінансування інвестиційних проектів, що реалізуються за рахунок коштів державного фонду регіонального розвитку»</t>
  </si>
  <si>
    <t>Будівництво нової лінії освітлення в центральному парку смт.Летичів</t>
  </si>
  <si>
    <t>139110</t>
  </si>
  <si>
    <t>63623917</t>
  </si>
  <si>
    <t>рішення сесії селищної ради № 3 від 21.02.2019 року</t>
  </si>
  <si>
    <t xml:space="preserve">ПРОГРАМА забезпечення національної безпеки на території Летичівської селищної об’єднаної територіальної громади Летичівського району Хмельницької області на 2019-2020 роки
</t>
  </si>
  <si>
    <t xml:space="preserve">Комплексна програма мобілізації зусиль Летичівської селищної ради, її виконавчих органів і Управління Державної міграційної служби України в Хмельницькій області по забезпеченню реалізації державної міграційної політики на 2019-2023 роки
</t>
  </si>
  <si>
    <t>рішення сесії селищної ради № 4 від 31.01.2019 року</t>
  </si>
  <si>
    <t>Сееретар ради                                                                                                         Попова О.В.</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</si>
  <si>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</si>
  <si>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</si>
  <si>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Рентна плата за користування надрами для видобування корисних копалин  загальнодержавного значення </t>
  </si>
  <si>
    <t>1896340</t>
  </si>
  <si>
    <t>15322440</t>
  </si>
  <si>
    <t>0117330</t>
  </si>
  <si>
    <t>7330</t>
  </si>
  <si>
    <t>Будівництво інших об’єктів соціальної та виробничої інфраструктури комунальної  власності</t>
  </si>
  <si>
    <t>0117650</t>
  </si>
  <si>
    <t>7650</t>
  </si>
  <si>
    <t xml:space="preserve">Проведення експертної грошової оцінки  земельної ділянки чи права на неї </t>
  </si>
  <si>
    <t>до рішення сесії Летичівської селищної ради  №   від 21.06.2019 р</t>
  </si>
  <si>
    <t>Додаток №                                                              
до рішення  Летичівської селищної ради №   від 21.06..2019 р
"Про внесення змін до селищного  бюджету  Летичівської селищної ради  на 2019 рік"</t>
  </si>
  <si>
    <t>Додаток 3  до рішення Летичівської селищної ради №  від 21.06.2019 р
"Про внесення змін до  селищного  бюджету Летичівської селищної ради   на 2019 рік"</t>
  </si>
  <si>
    <t>Додаток № 4
до рішення Летичівської селищної ради №   від 21.06.2019 р
"Про внесення змін до селищного  бюджету Летичівської селищної ради  на 2019 рік"</t>
  </si>
  <si>
    <t>Додаток № 5
до рішення Летичівської селищної ради №   від 21.06.2019 року
"Про внесення змін до селищного бюджету Летичівської селищної ради на 2019 рік"</t>
  </si>
  <si>
    <t>Додаток № 6
до рішення Летичівської селищної ради №    від 21.06.2019 р
"Про внесення змін до селищного  бюджету Летичівської селищної ради  на 2019 рік"</t>
  </si>
  <si>
    <t>Додаток № 7
до рішення Летичівської селищної ради №     від 21.06.2019 р
"Про  внесення змін до селищного  бюджету Летичівської селищної ради  на 2019 рік"</t>
  </si>
  <si>
    <t>Капітальний ремонт вул.Чорновола смт.Летичів</t>
  </si>
  <si>
    <t>Капітальний ремонт вул.Войтова  в смт.Летичів</t>
  </si>
  <si>
    <t>Капітальний ремонт вул.Івана Зубкова  в смт.Летичів</t>
  </si>
</sst>
</file>

<file path=xl/styles.xml><?xml version="1.0" encoding="utf-8"?>
<styleSheet xmlns="http://schemas.openxmlformats.org/spreadsheetml/2006/main">
  <numFmts count="6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70">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b/>
      <sz val="16"/>
      <name val="Times New Roman"/>
      <family val="1"/>
    </font>
    <font>
      <sz val="11"/>
      <name val="Times New Roman"/>
      <family val="1"/>
    </font>
    <font>
      <sz val="10"/>
      <name val="Times New Roman CYR"/>
      <family val="0"/>
    </font>
    <font>
      <b/>
      <sz val="12"/>
      <name val="Arial Cyr"/>
      <family val="0"/>
    </font>
    <font>
      <b/>
      <sz val="11"/>
      <name val="Times New Roman Cyr"/>
      <family val="1"/>
    </font>
    <font>
      <b/>
      <sz val="13"/>
      <name val="Times New Roman"/>
      <family val="1"/>
    </font>
    <font>
      <b/>
      <sz val="10"/>
      <name val="Times New Roman CYR"/>
      <family val="0"/>
    </font>
    <font>
      <sz val="11"/>
      <color indexed="8"/>
      <name val="Times New Roman"/>
      <family val="1"/>
    </font>
    <font>
      <sz val="9"/>
      <color indexed="8"/>
      <name val="Times New Roman"/>
      <family val="1"/>
    </font>
    <font>
      <sz val="14"/>
      <name val="Times New Roman"/>
      <family val="1"/>
    </font>
    <font>
      <sz val="8"/>
      <name val="Times New Roman CYR"/>
      <family val="0"/>
    </font>
    <font>
      <b/>
      <sz val="9"/>
      <name val="Times New Roman"/>
      <family val="0"/>
    </font>
    <font>
      <sz val="9"/>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sz val="10"/>
      <color indexed="8"/>
      <name val="ARIAL"/>
      <family val="0"/>
    </font>
    <font>
      <i/>
      <sz val="11"/>
      <name val="Times New Roman"/>
      <family val="1"/>
    </font>
    <font>
      <i/>
      <sz val="11"/>
      <color indexed="8"/>
      <name val="Times New Roman"/>
      <family val="1"/>
    </font>
    <font>
      <b/>
      <sz val="16"/>
      <name val="Times New Roman Cyr"/>
      <family val="0"/>
    </font>
    <font>
      <i/>
      <sz val="10"/>
      <name val="Times New Roman Cyr"/>
      <family val="0"/>
    </font>
    <font>
      <vertAlign val="superscript"/>
      <sz val="8"/>
      <name val="Times New Roman"/>
      <family val="1"/>
    </font>
    <font>
      <vertAlign val="superscript"/>
      <sz val="10"/>
      <name val="Times New Roman"/>
      <family val="1"/>
    </font>
    <font>
      <b/>
      <vertAlign val="superscript"/>
      <sz val="10"/>
      <name val="Times New Roman"/>
      <family val="1"/>
    </font>
    <font>
      <b/>
      <sz val="14"/>
      <name val="Arial Cyr"/>
      <family val="0"/>
    </font>
    <font>
      <b/>
      <sz val="9"/>
      <color indexed="8"/>
      <name val="Times New Roman"/>
      <family val="1"/>
    </font>
    <font>
      <b/>
      <sz val="10"/>
      <color indexed="36"/>
      <name val="Times New Roman"/>
      <family val="1"/>
    </font>
    <font>
      <b/>
      <sz val="10"/>
      <color indexed="62"/>
      <name val="Times New Roman"/>
      <family val="1"/>
    </font>
    <font>
      <sz val="10"/>
      <color indexed="36"/>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top style="thin"/>
      <bottom style="thin"/>
    </border>
    <border>
      <left style="thin"/>
      <right style="thin"/>
      <top style="thin"/>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style="medium"/>
      <top style="thin"/>
      <bottom style="thin"/>
    </border>
    <border>
      <left/>
      <right/>
      <top style="thin"/>
      <bottom style="thin"/>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25" fillId="0" borderId="0">
      <alignment/>
      <protection/>
    </xf>
    <xf numFmtId="0" fontId="26"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1" fillId="13" borderId="1" applyNumberFormat="0" applyAlignment="0" applyProtection="0"/>
    <xf numFmtId="0" fontId="11" fillId="7" borderId="1" applyNumberFormat="0" applyAlignment="0" applyProtection="0"/>
    <xf numFmtId="0" fontId="12" fillId="24" borderId="2" applyNumberFormat="0" applyAlignment="0" applyProtection="0"/>
    <xf numFmtId="0" fontId="19" fillId="24" borderId="1" applyNumberFormat="0" applyAlignment="0" applyProtection="0"/>
    <xf numFmtId="0" fontId="27"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9" fillId="6"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51" fillId="0" borderId="0">
      <alignment vertical="top"/>
      <protection/>
    </xf>
    <xf numFmtId="0" fontId="13" fillId="0" borderId="6" applyNumberFormat="0" applyFill="0" applyAlignment="0" applyProtection="0"/>
    <xf numFmtId="0" fontId="16" fillId="0" borderId="7" applyNumberFormat="0" applyFill="0" applyAlignment="0" applyProtection="0"/>
    <xf numFmtId="0" fontId="14" fillId="25" borderId="8" applyNumberFormat="0" applyAlignment="0" applyProtection="0"/>
    <xf numFmtId="0" fontId="14" fillId="25" borderId="8" applyNumberFormat="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21" fillId="13" borderId="0" applyNumberFormat="0" applyBorder="0" applyAlignment="0" applyProtection="0"/>
    <xf numFmtId="0" fontId="68" fillId="26" borderId="1" applyNumberFormat="0" applyAlignment="0" applyProtection="0"/>
    <xf numFmtId="0" fontId="25" fillId="0" borderId="0">
      <alignment/>
      <protection/>
    </xf>
    <xf numFmtId="0" fontId="29" fillId="0" borderId="0" applyNumberFormat="0" applyFill="0" applyBorder="0" applyAlignment="0" applyProtection="0"/>
    <xf numFmtId="0" fontId="16" fillId="0" borderId="9" applyNumberFormat="0" applyFill="0" applyAlignment="0" applyProtection="0"/>
    <xf numFmtId="0" fontId="10" fillId="3"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8"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12" fillId="26" borderId="2" applyNumberFormat="0" applyAlignment="0" applyProtection="0"/>
    <xf numFmtId="0" fontId="22" fillId="0" borderId="11" applyNumberFormat="0" applyFill="0" applyAlignment="0" applyProtection="0"/>
    <xf numFmtId="0" fontId="69" fillId="13" borderId="0" applyNumberFormat="0" applyBorder="0" applyAlignment="0" applyProtection="0"/>
    <xf numFmtId="0" fontId="24" fillId="0" borderId="0">
      <alignment/>
      <protection/>
    </xf>
    <xf numFmtId="0" fontId="13"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cellStyleXfs>
  <cellXfs count="28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8"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8" fillId="0" borderId="0" xfId="0" applyNumberFormat="1" applyFont="1" applyFill="1" applyAlignment="1" applyProtection="1">
      <alignment horizontal="center"/>
      <protection/>
    </xf>
    <xf numFmtId="0" fontId="0" fillId="0" borderId="0" xfId="0" applyFont="1" applyFill="1" applyAlignment="1">
      <alignment horizontal="center"/>
    </xf>
    <xf numFmtId="0" fontId="8" fillId="0" borderId="12" xfId="0" applyNumberFormat="1" applyFont="1" applyFill="1" applyBorder="1" applyAlignment="1" applyProtection="1">
      <alignment horizontal="center" vertical="top"/>
      <protection/>
    </xf>
    <xf numFmtId="0" fontId="33" fillId="0" borderId="13" xfId="52" applyFont="1" applyBorder="1" applyAlignment="1">
      <alignment horizontal="right"/>
      <protection/>
    </xf>
    <xf numFmtId="0" fontId="30" fillId="0" borderId="0" xfId="0" applyFont="1" applyAlignment="1">
      <alignment/>
    </xf>
    <xf numFmtId="0" fontId="32" fillId="0" borderId="0" xfId="0" applyFont="1" applyAlignment="1">
      <alignment horizontal="center" vertical="center" wrapText="1"/>
    </xf>
    <xf numFmtId="0" fontId="0" fillId="0" borderId="0" xfId="0" applyFont="1" applyAlignment="1">
      <alignment/>
    </xf>
    <xf numFmtId="0" fontId="30" fillId="0" borderId="0" xfId="0" applyFont="1" applyBorder="1" applyAlignment="1">
      <alignment horizontal="right"/>
    </xf>
    <xf numFmtId="0" fontId="0" fillId="26" borderId="0" xfId="0" applyFont="1" applyFill="1" applyAlignment="1">
      <alignment/>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30" fillId="0" borderId="0" xfId="0" applyNumberFormat="1" applyFont="1" applyBorder="1" applyAlignment="1">
      <alignment horizontal="right"/>
    </xf>
    <xf numFmtId="2" fontId="0" fillId="0" borderId="0" xfId="0" applyNumberFormat="1" applyFont="1" applyBorder="1" applyAlignment="1">
      <alignment/>
    </xf>
    <xf numFmtId="0" fontId="37" fillId="0" borderId="14" xfId="0" applyFont="1" applyBorder="1" applyAlignment="1">
      <alignment horizontal="center"/>
    </xf>
    <xf numFmtId="0" fontId="36" fillId="0" borderId="0" xfId="0" applyNumberFormat="1" applyFont="1" applyFill="1" applyAlignment="1" applyProtection="1">
      <alignment/>
      <protection/>
    </xf>
    <xf numFmtId="0" fontId="36" fillId="0" borderId="0" xfId="0" applyFont="1" applyFill="1" applyAlignment="1">
      <alignment/>
    </xf>
    <xf numFmtId="0" fontId="36" fillId="0" borderId="0" xfId="0" applyFont="1" applyFill="1" applyAlignment="1">
      <alignment horizontal="center"/>
    </xf>
    <xf numFmtId="0" fontId="4" fillId="0" borderId="0" xfId="0" applyFont="1" applyFill="1" applyAlignment="1">
      <alignment horizontal="right"/>
    </xf>
    <xf numFmtId="0" fontId="36" fillId="0" borderId="15" xfId="0" applyNumberFormat="1" applyFont="1" applyFill="1" applyBorder="1" applyAlignment="1" applyProtection="1">
      <alignment/>
      <protection/>
    </xf>
    <xf numFmtId="0" fontId="36" fillId="0" borderId="16" xfId="0" applyNumberFormat="1" applyFont="1" applyFill="1" applyBorder="1" applyAlignment="1" applyProtection="1">
      <alignment/>
      <protection/>
    </xf>
    <xf numFmtId="0" fontId="6" fillId="0" borderId="0" xfId="0" applyNumberFormat="1" applyFont="1" applyFill="1" applyAlignment="1" applyProtection="1">
      <alignment/>
      <protection/>
    </xf>
    <xf numFmtId="0" fontId="46" fillId="0" borderId="0" xfId="0" applyFont="1" applyFill="1" applyAlignment="1">
      <alignment/>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6" fillId="0" borderId="0" xfId="0" applyNumberFormat="1" applyFont="1" applyFill="1" applyAlignment="1" applyProtection="1">
      <alignment/>
      <protection/>
    </xf>
    <xf numFmtId="0" fontId="6"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6" fillId="0" borderId="0" xfId="0" applyNumberFormat="1" applyFont="1" applyFill="1" applyAlignment="1" applyProtection="1">
      <alignment vertical="top"/>
      <protection/>
    </xf>
    <xf numFmtId="0" fontId="6" fillId="0" borderId="0" xfId="0" applyFont="1" applyFill="1" applyAlignment="1">
      <alignment vertical="top"/>
    </xf>
    <xf numFmtId="0" fontId="0"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Alignment="1">
      <alignment/>
    </xf>
    <xf numFmtId="0" fontId="31" fillId="0" borderId="0" xfId="0" applyFont="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0" fontId="33" fillId="0" borderId="17" xfId="52" applyFont="1" applyBorder="1" applyAlignment="1">
      <alignment horizontal="center"/>
      <protection/>
    </xf>
    <xf numFmtId="49" fontId="8" fillId="26" borderId="13" xfId="0" applyNumberFormat="1" applyFont="1" applyFill="1" applyBorder="1" applyAlignment="1">
      <alignment horizontal="right" wrapText="1"/>
    </xf>
    <xf numFmtId="49" fontId="8" fillId="26" borderId="13" xfId="0" applyNumberFormat="1" applyFont="1" applyFill="1" applyBorder="1" applyAlignment="1">
      <alignment wrapText="1"/>
    </xf>
    <xf numFmtId="0" fontId="5" fillId="0" borderId="13"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top"/>
      <protection/>
    </xf>
    <xf numFmtId="0" fontId="52" fillId="0" borderId="13" xfId="0" applyNumberFormat="1" applyFont="1" applyFill="1" applyBorder="1" applyAlignment="1" applyProtection="1">
      <alignment horizontal="left" vertical="top"/>
      <protection/>
    </xf>
    <xf numFmtId="0" fontId="52" fillId="0" borderId="13" xfId="0" applyNumberFormat="1" applyFont="1" applyFill="1" applyBorder="1" applyAlignment="1" applyProtection="1">
      <alignment vertical="top" wrapText="1"/>
      <protection/>
    </xf>
    <xf numFmtId="0" fontId="35" fillId="0" borderId="13" xfId="0" applyNumberFormat="1" applyFont="1" applyFill="1" applyBorder="1" applyAlignment="1" applyProtection="1">
      <alignment horizontal="left" vertical="top"/>
      <protection/>
    </xf>
    <xf numFmtId="0" fontId="35" fillId="0" borderId="13"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33" fillId="0" borderId="13" xfId="0" applyNumberFormat="1" applyFont="1" applyFill="1" applyBorder="1" applyAlignment="1" applyProtection="1">
      <alignment vertical="top" wrapText="1"/>
      <protection/>
    </xf>
    <xf numFmtId="200" fontId="33" fillId="0" borderId="13" xfId="0" applyNumberFormat="1" applyFont="1" applyFill="1" applyBorder="1" applyAlignment="1" applyProtection="1">
      <alignment horizontal="right" vertical="top"/>
      <protection/>
    </xf>
    <xf numFmtId="200" fontId="48" fillId="0" borderId="13" xfId="0" applyNumberFormat="1" applyFont="1" applyBorder="1" applyAlignment="1">
      <alignment vertical="top" wrapText="1"/>
    </xf>
    <xf numFmtId="0" fontId="35" fillId="0" borderId="13" xfId="0" applyNumberFormat="1" applyFont="1" applyFill="1" applyBorder="1" applyAlignment="1" applyProtection="1">
      <alignment vertical="top"/>
      <protection/>
    </xf>
    <xf numFmtId="200" fontId="52" fillId="0" borderId="13" xfId="0" applyNumberFormat="1" applyFont="1" applyFill="1" applyBorder="1" applyAlignment="1" applyProtection="1">
      <alignment horizontal="right" vertical="top"/>
      <protection/>
    </xf>
    <xf numFmtId="200" fontId="53"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top"/>
      <protection/>
    </xf>
    <xf numFmtId="200" fontId="41"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right" vertical="center"/>
      <protection/>
    </xf>
    <xf numFmtId="0" fontId="33" fillId="0" borderId="13" xfId="0" applyFont="1" applyBorder="1" applyAlignment="1">
      <alignment horizontal="center" vertical="center" wrapText="1"/>
    </xf>
    <xf numFmtId="0" fontId="33" fillId="0" borderId="13" xfId="0" applyFont="1" applyBorder="1" applyAlignment="1">
      <alignment horizontal="justify" vertical="center" wrapText="1"/>
    </xf>
    <xf numFmtId="200" fontId="49" fillId="0" borderId="13" xfId="96" applyNumberFormat="1" applyFont="1" applyBorder="1" applyAlignment="1">
      <alignment vertical="center"/>
      <protection/>
    </xf>
    <xf numFmtId="200" fontId="49" fillId="0" borderId="13" xfId="96" applyNumberFormat="1" applyFont="1" applyBorder="1">
      <alignment vertical="top"/>
      <protection/>
    </xf>
    <xf numFmtId="0" fontId="35" fillId="0" borderId="13" xfId="0" applyFont="1" applyBorder="1" applyAlignment="1">
      <alignment horizontal="center" vertical="center" wrapText="1"/>
    </xf>
    <xf numFmtId="0" fontId="35" fillId="0" borderId="13" xfId="0" applyFont="1" applyBorder="1" applyAlignment="1">
      <alignment vertical="center" wrapText="1"/>
    </xf>
    <xf numFmtId="200" fontId="50" fillId="0" borderId="13" xfId="96" applyNumberFormat="1" applyFont="1" applyBorder="1">
      <alignment vertical="top"/>
      <protection/>
    </xf>
    <xf numFmtId="200" fontId="6" fillId="0" borderId="13" xfId="0" applyNumberFormat="1" applyFont="1" applyFill="1" applyBorder="1" applyAlignment="1" applyProtection="1">
      <alignment vertical="top"/>
      <protection/>
    </xf>
    <xf numFmtId="200" fontId="42" fillId="0" borderId="13" xfId="0" applyNumberFormat="1" applyFont="1" applyBorder="1" applyAlignment="1">
      <alignment vertical="justify"/>
    </xf>
    <xf numFmtId="0" fontId="0" fillId="0" borderId="0" xfId="0" applyNumberFormat="1" applyFont="1" applyFill="1" applyAlignment="1" applyProtection="1">
      <alignment/>
      <protection/>
    </xf>
    <xf numFmtId="0" fontId="8"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5"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43" fillId="0" borderId="13" xfId="0" applyFont="1" applyBorder="1" applyAlignment="1">
      <alignment wrapText="1"/>
    </xf>
    <xf numFmtId="0" fontId="8" fillId="0" borderId="0" xfId="0" applyNumberFormat="1" applyFont="1" applyFill="1" applyAlignment="1" applyProtection="1">
      <alignment horizontal="center" vertical="center" wrapText="1"/>
      <protection/>
    </xf>
    <xf numFmtId="200" fontId="49" fillId="0" borderId="13" xfId="0" applyNumberFormat="1" applyFont="1" applyBorder="1" applyAlignment="1">
      <alignment vertical="center"/>
    </xf>
    <xf numFmtId="200" fontId="45" fillId="0" borderId="13" xfId="0" applyNumberFormat="1" applyFont="1" applyFill="1" applyBorder="1" applyAlignment="1" applyProtection="1">
      <alignment vertical="center"/>
      <protection/>
    </xf>
    <xf numFmtId="200" fontId="49" fillId="0" borderId="13" xfId="0" applyNumberFormat="1" applyFont="1" applyBorder="1" applyAlignment="1">
      <alignment vertical="justify"/>
    </xf>
    <xf numFmtId="200" fontId="5" fillId="0" borderId="13" xfId="0" applyNumberFormat="1" applyFont="1" applyFill="1" applyBorder="1" applyAlignment="1" applyProtection="1">
      <alignment vertical="top"/>
      <protection/>
    </xf>
    <xf numFmtId="0" fontId="36" fillId="0" borderId="0" xfId="0" applyNumberFormat="1" applyFont="1" applyFill="1" applyBorder="1" applyAlignment="1" applyProtection="1">
      <alignment/>
      <protection/>
    </xf>
    <xf numFmtId="0" fontId="55" fillId="0" borderId="18"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5" fillId="0" borderId="19"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49" fontId="33" fillId="26" borderId="13" xfId="0" applyNumberFormat="1" applyFont="1" applyFill="1" applyBorder="1" applyAlignment="1">
      <alignment horizontal="center" vertical="center" wrapText="1"/>
    </xf>
    <xf numFmtId="0" fontId="33" fillId="26" borderId="13" xfId="0" applyFont="1" applyFill="1" applyBorder="1" applyAlignment="1">
      <alignment horizontal="justify" vertical="center" wrapText="1"/>
    </xf>
    <xf numFmtId="200" fontId="49" fillId="26" borderId="13" xfId="96" applyNumberFormat="1" applyFont="1" applyFill="1" applyBorder="1" applyAlignment="1">
      <alignment vertical="center"/>
      <protection/>
    </xf>
    <xf numFmtId="0" fontId="0" fillId="26" borderId="0" xfId="0" applyFont="1" applyFill="1" applyAlignment="1">
      <alignment vertical="center"/>
    </xf>
    <xf numFmtId="200" fontId="49" fillId="26" borderId="13" xfId="96" applyNumberFormat="1" applyFont="1" applyFill="1" applyBorder="1">
      <alignment vertical="top"/>
      <protection/>
    </xf>
    <xf numFmtId="49" fontId="35" fillId="26" borderId="13" xfId="0" applyNumberFormat="1" applyFont="1" applyFill="1" applyBorder="1" applyAlignment="1">
      <alignment horizontal="center" vertical="center" wrapText="1"/>
    </xf>
    <xf numFmtId="0" fontId="35" fillId="26" borderId="13" xfId="0" applyFont="1" applyFill="1" applyBorder="1" applyAlignment="1">
      <alignment vertical="center" wrapText="1"/>
    </xf>
    <xf numFmtId="0" fontId="33" fillId="26" borderId="13" xfId="0" applyFont="1" applyFill="1" applyBorder="1" applyAlignment="1">
      <alignment horizontal="center" vertical="center" wrapText="1"/>
    </xf>
    <xf numFmtId="200" fontId="50" fillId="26" borderId="13" xfId="96" applyNumberFormat="1" applyFont="1" applyFill="1" applyBorder="1">
      <alignment vertical="top"/>
      <protection/>
    </xf>
    <xf numFmtId="0" fontId="35" fillId="26" borderId="13" xfId="0" applyFont="1" applyFill="1" applyBorder="1" applyAlignment="1">
      <alignment horizontal="center" vertical="center" wrapText="1"/>
    </xf>
    <xf numFmtId="0" fontId="33" fillId="26" borderId="13" xfId="0" applyFont="1" applyFill="1" applyBorder="1" applyAlignment="1">
      <alignment vertical="center" wrapText="1"/>
    </xf>
    <xf numFmtId="0" fontId="0" fillId="26" borderId="0" xfId="0" applyNumberFormat="1" applyFont="1" applyFill="1" applyAlignment="1" applyProtection="1">
      <alignment/>
      <protection/>
    </xf>
    <xf numFmtId="0" fontId="43" fillId="0" borderId="0" xfId="0" applyFont="1" applyAlignment="1">
      <alignment/>
    </xf>
    <xf numFmtId="0" fontId="43" fillId="0" borderId="0" xfId="0" applyFont="1" applyAlignment="1">
      <alignment horizontal="right"/>
    </xf>
    <xf numFmtId="0" fontId="43" fillId="0" borderId="13" xfId="0" applyFont="1" applyBorder="1" applyAlignment="1">
      <alignment horizontal="center" vertical="center" wrapText="1"/>
    </xf>
    <xf numFmtId="0" fontId="43" fillId="27" borderId="13" xfId="0" applyFont="1" applyFill="1" applyBorder="1" applyAlignment="1">
      <alignment horizontal="center" vertical="center" wrapText="1"/>
    </xf>
    <xf numFmtId="0" fontId="59" fillId="0" borderId="13" xfId="0" applyFont="1" applyBorder="1" applyAlignment="1">
      <alignment vertical="center"/>
    </xf>
    <xf numFmtId="0" fontId="59" fillId="0" borderId="13" xfId="0" applyFont="1" applyBorder="1" applyAlignment="1">
      <alignment vertical="center" wrapText="1"/>
    </xf>
    <xf numFmtId="2" fontId="59" fillId="27" borderId="13" xfId="0" applyNumberFormat="1" applyFont="1" applyFill="1" applyBorder="1" applyAlignment="1">
      <alignment vertical="center"/>
    </xf>
    <xf numFmtId="2" fontId="59" fillId="0" borderId="13" xfId="0" applyNumberFormat="1" applyFont="1" applyBorder="1" applyAlignment="1">
      <alignment vertical="center"/>
    </xf>
    <xf numFmtId="0" fontId="43" fillId="0" borderId="13" xfId="0" applyFont="1" applyBorder="1" applyAlignment="1">
      <alignment vertical="center"/>
    </xf>
    <xf numFmtId="0" fontId="43" fillId="0" borderId="13" xfId="0" applyFont="1" applyBorder="1" applyAlignment="1">
      <alignment vertical="center" wrapText="1"/>
    </xf>
    <xf numFmtId="2" fontId="43" fillId="27" borderId="13" xfId="0" applyNumberFormat="1" applyFont="1" applyFill="1" applyBorder="1" applyAlignment="1">
      <alignment vertical="center"/>
    </xf>
    <xf numFmtId="2" fontId="43" fillId="0" borderId="13" xfId="0" applyNumberFormat="1" applyFont="1" applyBorder="1" applyAlignment="1">
      <alignment vertical="center"/>
    </xf>
    <xf numFmtId="0" fontId="59" fillId="27" borderId="13" xfId="0" applyFont="1" applyFill="1" applyBorder="1" applyAlignment="1">
      <alignment vertical="center"/>
    </xf>
    <xf numFmtId="2" fontId="8" fillId="27" borderId="13" xfId="0" applyNumberFormat="1" applyFont="1" applyFill="1" applyBorder="1" applyAlignment="1">
      <alignment vertical="center"/>
    </xf>
    <xf numFmtId="2" fontId="43" fillId="27" borderId="13" xfId="0" applyNumberFormat="1" applyFont="1" applyFill="1" applyBorder="1" applyAlignment="1">
      <alignment vertical="center"/>
    </xf>
    <xf numFmtId="0" fontId="7" fillId="26" borderId="13"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0" fillId="26" borderId="13" xfId="0" applyNumberFormat="1" applyFont="1" applyFill="1" applyBorder="1" applyAlignment="1" applyProtection="1">
      <alignment horizontal="center" vertical="center" wrapText="1"/>
      <protection/>
    </xf>
    <xf numFmtId="0" fontId="31" fillId="26" borderId="13"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2" fontId="5" fillId="24" borderId="13" xfId="0" applyNumberFormat="1" applyFont="1" applyFill="1" applyBorder="1" applyAlignment="1">
      <alignment horizontal="center" vertical="center" wrapText="1"/>
    </xf>
    <xf numFmtId="1" fontId="0" fillId="4" borderId="0" xfId="0" applyNumberFormat="1" applyFont="1" applyFill="1" applyAlignment="1" applyProtection="1">
      <alignment/>
      <protection/>
    </xf>
    <xf numFmtId="2" fontId="0" fillId="4" borderId="0" xfId="0" applyNumberFormat="1" applyFont="1" applyFill="1" applyAlignment="1" applyProtection="1">
      <alignment/>
      <protection/>
    </xf>
    <xf numFmtId="0" fontId="0" fillId="4" borderId="0" xfId="0" applyNumberFormat="1" applyFont="1" applyFill="1" applyAlignment="1" applyProtection="1">
      <alignment/>
      <protection/>
    </xf>
    <xf numFmtId="2" fontId="0" fillId="4" borderId="13" xfId="0" applyNumberFormat="1" applyFont="1" applyFill="1" applyBorder="1" applyAlignment="1" applyProtection="1">
      <alignment/>
      <protection/>
    </xf>
    <xf numFmtId="200" fontId="0" fillId="0" borderId="0" xfId="0" applyNumberFormat="1" applyFont="1" applyFill="1" applyAlignment="1" applyProtection="1">
      <alignment/>
      <protection/>
    </xf>
    <xf numFmtId="200" fontId="60" fillId="26" borderId="13" xfId="0" applyNumberFormat="1" applyFont="1" applyFill="1" applyBorder="1" applyAlignment="1">
      <alignment vertical="justify"/>
    </xf>
    <xf numFmtId="0" fontId="5" fillId="0" borderId="13" xfId="0" applyFont="1" applyFill="1" applyBorder="1" applyAlignment="1">
      <alignment horizontal="center" vertical="center" wrapText="1"/>
    </xf>
    <xf numFmtId="3" fontId="61" fillId="0" borderId="13" xfId="0" applyNumberFormat="1"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3" fontId="63" fillId="0" borderId="13" xfId="0" applyNumberFormat="1" applyFont="1" applyFill="1" applyBorder="1" applyAlignment="1">
      <alignment horizontal="center" vertical="center" wrapText="1"/>
    </xf>
    <xf numFmtId="0" fontId="0" fillId="26" borderId="0" xfId="0" applyNumberFormat="1" applyFont="1" applyFill="1" applyBorder="1" applyAlignment="1" applyProtection="1">
      <alignment horizontal="left" vertical="center" wrapText="1"/>
      <protection/>
    </xf>
    <xf numFmtId="2" fontId="0" fillId="26" borderId="0" xfId="0" applyNumberFormat="1" applyFont="1" applyFill="1" applyBorder="1" applyAlignment="1" applyProtection="1">
      <alignment horizontal="left" vertical="center" wrapText="1"/>
      <protection/>
    </xf>
    <xf numFmtId="2" fontId="30" fillId="28" borderId="0" xfId="0" applyNumberFormat="1" applyFont="1" applyFill="1" applyBorder="1" applyAlignment="1">
      <alignment horizontal="right"/>
    </xf>
    <xf numFmtId="2" fontId="0" fillId="28" borderId="0" xfId="0" applyNumberFormat="1" applyFont="1" applyFill="1" applyBorder="1" applyAlignment="1">
      <alignment/>
    </xf>
    <xf numFmtId="0" fontId="0" fillId="28" borderId="0" xfId="0" applyFont="1" applyFill="1" applyAlignment="1">
      <alignment/>
    </xf>
    <xf numFmtId="2" fontId="0" fillId="28" borderId="0" xfId="0" applyNumberFormat="1" applyFont="1" applyFill="1" applyAlignment="1">
      <alignment/>
    </xf>
    <xf numFmtId="0" fontId="0" fillId="28" borderId="20" xfId="0" applyFill="1" applyBorder="1" applyAlignment="1">
      <alignment/>
    </xf>
    <xf numFmtId="0" fontId="0" fillId="28" borderId="21" xfId="0" applyFont="1" applyFill="1" applyBorder="1" applyAlignment="1">
      <alignment/>
    </xf>
    <xf numFmtId="49" fontId="0" fillId="28" borderId="22" xfId="0" applyNumberFormat="1" applyFont="1" applyFill="1" applyBorder="1" applyAlignment="1">
      <alignment/>
    </xf>
    <xf numFmtId="49" fontId="0" fillId="28" borderId="21" xfId="0" applyNumberFormat="1" applyFont="1" applyFill="1" applyBorder="1" applyAlignment="1">
      <alignment/>
    </xf>
    <xf numFmtId="4" fontId="49" fillId="26" borderId="13" xfId="96" applyNumberFormat="1" applyFont="1" applyFill="1" applyBorder="1">
      <alignment vertical="top"/>
      <protection/>
    </xf>
    <xf numFmtId="200" fontId="33" fillId="26" borderId="13" xfId="0" applyNumberFormat="1" applyFont="1" applyFill="1" applyBorder="1" applyAlignment="1">
      <alignment vertical="center" wrapText="1"/>
    </xf>
    <xf numFmtId="2" fontId="0" fillId="28" borderId="0" xfId="0" applyNumberFormat="1" applyFont="1" applyFill="1" applyBorder="1" applyAlignment="1" applyProtection="1">
      <alignment horizontal="left" vertical="center" wrapText="1"/>
      <protection locked="0"/>
    </xf>
    <xf numFmtId="0" fontId="43" fillId="0" borderId="0" xfId="0" applyNumberFormat="1" applyFont="1" applyFill="1" applyBorder="1" applyAlignment="1" applyProtection="1">
      <alignment vertical="center" wrapText="1"/>
      <protection/>
    </xf>
    <xf numFmtId="0" fontId="8" fillId="0" borderId="0" xfId="0" applyFont="1" applyAlignment="1">
      <alignment horizontal="center"/>
    </xf>
    <xf numFmtId="200" fontId="50" fillId="0" borderId="13" xfId="96" applyNumberFormat="1" applyFont="1" applyBorder="1" applyAlignment="1">
      <alignment horizontal="right" vertical="top"/>
      <protection/>
    </xf>
    <xf numFmtId="200" fontId="42" fillId="0" borderId="23" xfId="0" applyNumberFormat="1" applyFont="1" applyBorder="1" applyAlignment="1">
      <alignment vertical="justify"/>
    </xf>
    <xf numFmtId="2" fontId="59" fillId="0" borderId="13" xfId="0" applyNumberFormat="1" applyFont="1" applyBorder="1" applyAlignment="1">
      <alignment vertical="center" wrapText="1"/>
    </xf>
    <xf numFmtId="0" fontId="35" fillId="26" borderId="17" xfId="0" applyFont="1" applyFill="1" applyBorder="1" applyAlignment="1">
      <alignment vertical="center" wrapText="1"/>
    </xf>
    <xf numFmtId="0" fontId="34" fillId="0" borderId="0" xfId="0" applyFont="1" applyAlignment="1">
      <alignment/>
    </xf>
    <xf numFmtId="0" fontId="0" fillId="26" borderId="13" xfId="0" applyFont="1" applyFill="1" applyBorder="1" applyAlignment="1">
      <alignment/>
    </xf>
    <xf numFmtId="2" fontId="8" fillId="0" borderId="13" xfId="0" applyNumberFormat="1" applyFont="1" applyBorder="1" applyAlignment="1">
      <alignment vertical="center"/>
    </xf>
    <xf numFmtId="0" fontId="33" fillId="0" borderId="17" xfId="0" applyFont="1" applyBorder="1" applyAlignment="1">
      <alignment horizontal="justify" vertical="center" wrapText="1"/>
    </xf>
    <xf numFmtId="0" fontId="8" fillId="0" borderId="13" xfId="0" applyFont="1" applyBorder="1" applyAlignment="1">
      <alignment horizontal="center"/>
    </xf>
    <xf numFmtId="0" fontId="54" fillId="0" borderId="0" xfId="0" applyFont="1" applyAlignment="1">
      <alignment horizontal="center" vertical="center" wrapText="1"/>
    </xf>
    <xf numFmtId="0" fontId="8" fillId="0" borderId="23" xfId="0" applyFont="1" applyBorder="1" applyAlignment="1">
      <alignment horizontal="center"/>
    </xf>
    <xf numFmtId="0" fontId="31" fillId="0" borderId="24" xfId="0" applyFont="1" applyBorder="1" applyAlignment="1">
      <alignment horizontal="center" vertical="top" wrapText="1"/>
    </xf>
    <xf numFmtId="0" fontId="0" fillId="0" borderId="13" xfId="0" applyFont="1" applyBorder="1" applyAlignment="1">
      <alignment/>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top" wrapText="1"/>
    </xf>
    <xf numFmtId="0" fontId="31" fillId="0" borderId="29" xfId="0" applyFont="1" applyBorder="1" applyAlignment="1">
      <alignment horizontal="center" vertical="top" wrapText="1"/>
    </xf>
    <xf numFmtId="0" fontId="31" fillId="0" borderId="30" xfId="0" applyFont="1" applyBorder="1" applyAlignment="1">
      <alignment horizontal="center" vertical="top" wrapText="1"/>
    </xf>
    <xf numFmtId="0" fontId="31" fillId="0" borderId="31" xfId="0" applyFont="1" applyBorder="1" applyAlignment="1">
      <alignment horizontal="center" vertical="top" wrapText="1"/>
    </xf>
    <xf numFmtId="0" fontId="5" fillId="0" borderId="19" xfId="0" applyFont="1" applyBorder="1" applyAlignment="1">
      <alignment horizontal="right"/>
    </xf>
    <xf numFmtId="0" fontId="0" fillId="0" borderId="19" xfId="0" applyFont="1" applyBorder="1" applyAlignment="1">
      <alignment/>
    </xf>
    <xf numFmtId="0" fontId="38" fillId="0" borderId="32" xfId="0" applyFont="1" applyBorder="1" applyAlignment="1">
      <alignment horizontal="right"/>
    </xf>
    <xf numFmtId="0" fontId="33" fillId="0" borderId="33" xfId="52" applyFont="1" applyBorder="1" applyAlignment="1">
      <alignment horizontal="right"/>
      <protection/>
    </xf>
    <xf numFmtId="0" fontId="33" fillId="0" borderId="34" xfId="52" applyFont="1" applyBorder="1" applyAlignment="1">
      <alignment horizontal="center"/>
      <protection/>
    </xf>
    <xf numFmtId="0" fontId="43" fillId="0" borderId="33" xfId="0" applyFont="1" applyBorder="1" applyAlignment="1">
      <alignment wrapText="1"/>
    </xf>
    <xf numFmtId="49" fontId="8" fillId="26" borderId="33" xfId="0" applyNumberFormat="1" applyFont="1" applyFill="1" applyBorder="1" applyAlignment="1">
      <alignment wrapText="1"/>
    </xf>
    <xf numFmtId="49" fontId="8" fillId="26" borderId="33" xfId="0" applyNumberFormat="1" applyFont="1" applyFill="1" applyBorder="1" applyAlignment="1">
      <alignment horizontal="right" wrapText="1"/>
    </xf>
    <xf numFmtId="0" fontId="0" fillId="0" borderId="33" xfId="0" applyFont="1" applyBorder="1" applyAlignment="1">
      <alignment/>
    </xf>
    <xf numFmtId="0" fontId="38" fillId="0" borderId="35" xfId="0" applyFont="1" applyBorder="1" applyAlignment="1">
      <alignment horizontal="right"/>
    </xf>
    <xf numFmtId="0" fontId="40" fillId="0" borderId="36" xfId="0" applyFont="1" applyBorder="1" applyAlignment="1">
      <alignment horizontal="right"/>
    </xf>
    <xf numFmtId="0" fontId="33" fillId="0" borderId="37" xfId="52" applyFont="1" applyBorder="1" applyAlignment="1">
      <alignment horizontal="right" wrapText="1"/>
      <protection/>
    </xf>
    <xf numFmtId="0" fontId="33" fillId="0" borderId="38" xfId="52" applyFont="1" applyBorder="1" applyAlignment="1">
      <alignment horizontal="center"/>
      <protection/>
    </xf>
    <xf numFmtId="0" fontId="39" fillId="0" borderId="37" xfId="0" applyFont="1" applyBorder="1" applyAlignment="1">
      <alignment vertical="center" wrapText="1"/>
    </xf>
    <xf numFmtId="0" fontId="8" fillId="0" borderId="37" xfId="0" applyFont="1" applyBorder="1" applyAlignment="1">
      <alignment vertical="center" wrapText="1"/>
    </xf>
    <xf numFmtId="49" fontId="8" fillId="26" borderId="37" xfId="0" applyNumberFormat="1" applyFont="1" applyFill="1" applyBorder="1" applyAlignment="1">
      <alignment wrapText="1"/>
    </xf>
    <xf numFmtId="49" fontId="8" fillId="26" borderId="37" xfId="0" applyNumberFormat="1" applyFont="1" applyFill="1" applyBorder="1" applyAlignment="1">
      <alignment horizontal="right" wrapText="1"/>
    </xf>
    <xf numFmtId="0" fontId="0" fillId="0" borderId="37" xfId="0" applyFont="1" applyBorder="1" applyAlignment="1">
      <alignment/>
    </xf>
    <xf numFmtId="2" fontId="59" fillId="0" borderId="39" xfId="0" applyNumberFormat="1" applyFont="1" applyFill="1" applyBorder="1" applyAlignment="1" applyProtection="1">
      <alignment vertical="center"/>
      <protection/>
    </xf>
    <xf numFmtId="0" fontId="35" fillId="0" borderId="23" xfId="0" applyFont="1" applyBorder="1" applyAlignment="1">
      <alignment vertical="center" wrapText="1"/>
    </xf>
    <xf numFmtId="200" fontId="50" fillId="0" borderId="23" xfId="96" applyNumberFormat="1" applyFont="1" applyBorder="1">
      <alignment vertical="top"/>
      <protection/>
    </xf>
    <xf numFmtId="0" fontId="38" fillId="0" borderId="40" xfId="0" applyFont="1" applyBorder="1" applyAlignment="1">
      <alignment horizontal="right"/>
    </xf>
    <xf numFmtId="0" fontId="33" fillId="0" borderId="19" xfId="52" applyFont="1" applyBorder="1" applyAlignment="1">
      <alignment horizontal="right"/>
      <protection/>
    </xf>
    <xf numFmtId="0" fontId="33" fillId="0" borderId="41" xfId="52" applyFont="1" applyBorder="1" applyAlignment="1">
      <alignment horizontal="center"/>
      <protection/>
    </xf>
    <xf numFmtId="49" fontId="8" fillId="26" borderId="19" xfId="0" applyNumberFormat="1" applyFont="1" applyFill="1" applyBorder="1" applyAlignment="1">
      <alignment wrapText="1"/>
    </xf>
    <xf numFmtId="49" fontId="8" fillId="26" borderId="19" xfId="0" applyNumberFormat="1" applyFont="1" applyFill="1" applyBorder="1" applyAlignment="1">
      <alignment horizontal="right" wrapText="1"/>
    </xf>
    <xf numFmtId="0" fontId="0" fillId="0" borderId="19" xfId="0" applyFont="1" applyBorder="1" applyAlignment="1">
      <alignment/>
    </xf>
    <xf numFmtId="3" fontId="49" fillId="0" borderId="13" xfId="96" applyNumberFormat="1" applyFont="1" applyBorder="1">
      <alignment vertical="top"/>
      <protection/>
    </xf>
    <xf numFmtId="2" fontId="59" fillId="27" borderId="13" xfId="0" applyNumberFormat="1" applyFont="1" applyFill="1" applyBorder="1" applyAlignment="1">
      <alignment vertical="center" wrapText="1"/>
    </xf>
    <xf numFmtId="0" fontId="23" fillId="0" borderId="13" xfId="0" applyFont="1" applyFill="1" applyBorder="1" applyAlignment="1">
      <alignment horizontal="left" vertical="center" wrapText="1"/>
    </xf>
    <xf numFmtId="0" fontId="7" fillId="0" borderId="13" xfId="0" applyNumberFormat="1" applyFont="1" applyFill="1" applyBorder="1" applyAlignment="1" applyProtection="1">
      <alignment horizontal="left" vertical="top"/>
      <protection/>
    </xf>
    <xf numFmtId="0" fontId="0" fillId="0" borderId="13" xfId="0" applyNumberFormat="1" applyFont="1" applyFill="1" applyBorder="1" applyAlignment="1" applyProtection="1">
      <alignment horizontal="left" vertical="top"/>
      <protection/>
    </xf>
    <xf numFmtId="2" fontId="0" fillId="4" borderId="0" xfId="0" applyNumberFormat="1" applyFont="1" applyFill="1" applyBorder="1" applyAlignment="1" applyProtection="1">
      <alignment/>
      <protection/>
    </xf>
    <xf numFmtId="0" fontId="35" fillId="26" borderId="15" xfId="0" applyFont="1" applyFill="1" applyBorder="1" applyAlignment="1">
      <alignment vertical="center" wrapText="1"/>
    </xf>
    <xf numFmtId="0" fontId="35" fillId="0" borderId="42" xfId="0" applyFont="1" applyBorder="1" applyAlignment="1">
      <alignment vertical="center" wrapText="1"/>
    </xf>
    <xf numFmtId="0" fontId="35" fillId="26" borderId="43" xfId="0" applyFont="1" applyFill="1" applyBorder="1" applyAlignment="1">
      <alignment vertical="center" wrapText="1"/>
    </xf>
    <xf numFmtId="200" fontId="35" fillId="0" borderId="13" xfId="0" applyNumberFormat="1" applyFont="1" applyBorder="1" applyAlignment="1">
      <alignment vertical="center" wrapText="1"/>
    </xf>
    <xf numFmtId="0" fontId="0" fillId="26" borderId="0" xfId="0" applyFont="1" applyFill="1" applyBorder="1" applyAlignment="1">
      <alignment/>
    </xf>
    <xf numFmtId="0" fontId="0" fillId="26" borderId="13" xfId="0" applyFont="1" applyFill="1" applyBorder="1" applyAlignment="1">
      <alignment/>
    </xf>
    <xf numFmtId="0" fontId="0" fillId="26" borderId="13" xfId="0" applyNumberFormat="1" applyFont="1" applyFill="1" applyBorder="1" applyAlignment="1" applyProtection="1">
      <alignment horizontal="center" vertical="center" wrapText="1"/>
      <protection/>
    </xf>
    <xf numFmtId="0" fontId="7" fillId="26" borderId="19"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left" vertical="top"/>
      <protection/>
    </xf>
    <xf numFmtId="0" fontId="0" fillId="26" borderId="17" xfId="0" applyNumberFormat="1" applyFont="1" applyFill="1" applyBorder="1" applyAlignment="1" applyProtection="1">
      <alignment horizontal="center" vertical="center" wrapText="1"/>
      <protection/>
    </xf>
    <xf numFmtId="0" fontId="0" fillId="26" borderId="23"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0" fillId="26" borderId="18" xfId="0" applyNumberFormat="1" applyFont="1" applyFill="1" applyBorder="1" applyAlignment="1" applyProtection="1">
      <alignment horizontal="center" vertical="center" wrapText="1"/>
      <protection/>
    </xf>
    <xf numFmtId="0" fontId="0" fillId="26" borderId="19"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59" fillId="0" borderId="0" xfId="0" applyFont="1" applyAlignment="1">
      <alignment horizontal="center"/>
    </xf>
    <xf numFmtId="0" fontId="43" fillId="0" borderId="0" xfId="0" applyFont="1" applyAlignment="1">
      <alignment horizontal="center"/>
    </xf>
    <xf numFmtId="0" fontId="43" fillId="0" borderId="13" xfId="0" applyFont="1" applyBorder="1" applyAlignment="1">
      <alignment horizontal="center" vertical="center" wrapText="1"/>
    </xf>
    <xf numFmtId="0" fontId="43" fillId="27" borderId="13" xfId="0" applyFont="1" applyFill="1" applyBorder="1" applyAlignment="1">
      <alignment horizontal="center" vertical="center" wrapText="1"/>
    </xf>
    <xf numFmtId="0" fontId="33" fillId="0" borderId="17" xfId="0" applyNumberFormat="1" applyFont="1" applyFill="1" applyBorder="1" applyAlignment="1" applyProtection="1">
      <alignment horizontal="left" vertical="top"/>
      <protection/>
    </xf>
    <xf numFmtId="0" fontId="5" fillId="0" borderId="23" xfId="0" applyFont="1" applyBorder="1" applyAlignment="1">
      <alignment vertical="top"/>
    </xf>
    <xf numFmtId="0" fontId="4" fillId="0" borderId="0" xfId="0" applyNumberFormat="1" applyFont="1" applyFill="1" applyAlignment="1" applyProtection="1">
      <alignment horizontal="right" vertical="center"/>
      <protection/>
    </xf>
    <xf numFmtId="0" fontId="35" fillId="0" borderId="0" xfId="0" applyNumberFormat="1" applyFont="1" applyFill="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4" fillId="0" borderId="0" xfId="0" applyNumberFormat="1" applyFont="1" applyFill="1" applyAlignment="1" applyProtection="1">
      <alignment horizontal="center" vertical="center"/>
      <protection/>
    </xf>
    <xf numFmtId="0" fontId="31" fillId="26" borderId="13"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0" fillId="26" borderId="13" xfId="0" applyNumberFormat="1" applyFont="1" applyFill="1" applyBorder="1" applyAlignment="1" applyProtection="1">
      <alignment horizontal="center" vertical="center" wrapText="1"/>
      <protection/>
    </xf>
    <xf numFmtId="0" fontId="4" fillId="26" borderId="18" xfId="0" applyNumberFormat="1" applyFont="1" applyFill="1" applyBorder="1" applyAlignment="1" applyProtection="1">
      <alignment horizontal="center" vertical="center" wrapText="1"/>
      <protection/>
    </xf>
    <xf numFmtId="0" fontId="4" fillId="26" borderId="39"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0" fontId="7" fillId="26" borderId="18" xfId="0" applyNumberFormat="1" applyFont="1" applyFill="1" applyBorder="1" applyAlignment="1" applyProtection="1">
      <alignment horizontal="center" vertical="center" wrapText="1"/>
      <protection/>
    </xf>
    <xf numFmtId="0" fontId="7" fillId="26" borderId="39" xfId="0" applyNumberFormat="1" applyFont="1" applyFill="1" applyBorder="1" applyAlignment="1" applyProtection="1">
      <alignment horizontal="center" vertical="center" wrapText="1"/>
      <protection/>
    </xf>
    <xf numFmtId="0" fontId="0" fillId="26" borderId="0" xfId="0" applyNumberFormat="1" applyFont="1" applyFill="1" applyBorder="1" applyAlignment="1" applyProtection="1">
      <alignment horizontal="left" vertical="center" wrapText="1"/>
      <protection/>
    </xf>
    <xf numFmtId="0" fontId="31" fillId="26" borderId="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center" vertical="center" wrapText="1"/>
      <protection/>
    </xf>
    <xf numFmtId="0" fontId="36" fillId="0" borderId="39"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55" fillId="0" borderId="17"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31" fillId="0" borderId="44" xfId="0" applyNumberFormat="1" applyFont="1" applyFill="1" applyBorder="1" applyAlignment="1" applyProtection="1">
      <alignment horizontal="center" vertical="center" wrapText="1"/>
      <protection/>
    </xf>
    <xf numFmtId="0" fontId="31" fillId="0" borderId="2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2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54" fillId="0" borderId="0" xfId="0" applyFont="1" applyAlignment="1">
      <alignment horizontal="center" vertical="center" wrapText="1"/>
    </xf>
    <xf numFmtId="0" fontId="31" fillId="0" borderId="26" xfId="0" applyFont="1" applyBorder="1" applyAlignment="1">
      <alignment horizontal="center" vertical="center" wrapText="1"/>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33" fillId="0" borderId="17" xfId="0" applyFont="1" applyBorder="1" applyAlignment="1">
      <alignment horizontal="center" vertical="center" wrapText="1"/>
    </xf>
    <xf numFmtId="0" fontId="33" fillId="0" borderId="23" xfId="0" applyFont="1" applyBorder="1" applyAlignment="1">
      <alignment horizontal="center"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104"/>
  <sheetViews>
    <sheetView showGridLines="0" showZeros="0" view="pageBreakPreview" zoomScaleSheetLayoutView="100" zoomScalePageLayoutView="0" workbookViewId="0" topLeftCell="A100">
      <selection activeCell="E97" sqref="E97"/>
    </sheetView>
  </sheetViews>
  <sheetFormatPr defaultColWidth="9.16015625" defaultRowHeight="12.75"/>
  <cols>
    <col min="1" max="1" width="17.66015625" style="2" customWidth="1"/>
    <col min="2" max="2" width="48.5" style="2" customWidth="1"/>
    <col min="3" max="3" width="29.5" style="2" customWidth="1"/>
    <col min="4" max="4" width="23.16015625" style="2" customWidth="1"/>
    <col min="5" max="5" width="22.16015625" style="2" customWidth="1"/>
    <col min="6" max="6" width="22.83203125" style="2" customWidth="1"/>
    <col min="7" max="12" width="9.16015625" style="2" customWidth="1"/>
    <col min="13" max="244" width="9.16015625" style="42" customWidth="1"/>
    <col min="245" max="253" width="9.16015625" style="2" customWidth="1"/>
    <col min="254" max="16384" width="9.16015625" style="42" customWidth="1"/>
  </cols>
  <sheetData>
    <row r="1" spans="1:253" s="47" customFormat="1" ht="18.75">
      <c r="A1" s="111"/>
      <c r="B1" s="111"/>
      <c r="C1" s="111"/>
      <c r="D1" s="111" t="s">
        <v>16</v>
      </c>
      <c r="E1" s="111"/>
      <c r="F1" s="111"/>
      <c r="G1" s="46"/>
      <c r="H1" s="46"/>
      <c r="I1" s="46"/>
      <c r="J1" s="46"/>
      <c r="K1" s="46"/>
      <c r="L1" s="46"/>
      <c r="IK1" s="46"/>
      <c r="IL1" s="46"/>
      <c r="IM1" s="46"/>
      <c r="IN1" s="46"/>
      <c r="IO1" s="46"/>
      <c r="IP1" s="46"/>
      <c r="IQ1" s="46"/>
      <c r="IR1" s="46"/>
      <c r="IS1" s="46"/>
    </row>
    <row r="2" spans="1:6" ht="18.75">
      <c r="A2" s="111"/>
      <c r="B2" s="111"/>
      <c r="C2" s="111" t="s">
        <v>413</v>
      </c>
      <c r="D2" s="111"/>
      <c r="E2" s="111"/>
      <c r="F2" s="111"/>
    </row>
    <row r="3" spans="1:13" ht="16.5" customHeight="1">
      <c r="A3" s="111"/>
      <c r="B3" s="111"/>
      <c r="C3" s="111" t="s">
        <v>383</v>
      </c>
      <c r="D3" s="111"/>
      <c r="E3" s="111"/>
      <c r="F3" s="111"/>
      <c r="M3" s="2"/>
    </row>
    <row r="4" spans="1:6" ht="18.75">
      <c r="A4" s="111"/>
      <c r="B4" s="111"/>
      <c r="C4" s="111" t="s">
        <v>382</v>
      </c>
      <c r="D4" s="111"/>
      <c r="E4" s="111"/>
      <c r="F4" s="111"/>
    </row>
    <row r="5" spans="1:6" ht="18.75">
      <c r="A5" s="229" t="s">
        <v>275</v>
      </c>
      <c r="B5" s="230"/>
      <c r="C5" s="230"/>
      <c r="D5" s="230"/>
      <c r="E5" s="230"/>
      <c r="F5" s="230"/>
    </row>
    <row r="6" spans="1:6" ht="18.75">
      <c r="A6" s="111"/>
      <c r="B6" s="111"/>
      <c r="C6" s="111"/>
      <c r="D6" s="111"/>
      <c r="E6" s="111"/>
      <c r="F6" s="112" t="s">
        <v>17</v>
      </c>
    </row>
    <row r="7" spans="1:6" ht="18.75">
      <c r="A7" s="231" t="s">
        <v>161</v>
      </c>
      <c r="B7" s="231" t="s">
        <v>18</v>
      </c>
      <c r="C7" s="232" t="s">
        <v>8</v>
      </c>
      <c r="D7" s="231" t="s">
        <v>180</v>
      </c>
      <c r="E7" s="231" t="s">
        <v>181</v>
      </c>
      <c r="F7" s="231"/>
    </row>
    <row r="8" spans="1:6" ht="12.75">
      <c r="A8" s="231"/>
      <c r="B8" s="231"/>
      <c r="C8" s="231"/>
      <c r="D8" s="231"/>
      <c r="E8" s="231" t="s">
        <v>8</v>
      </c>
      <c r="F8" s="231" t="s">
        <v>9</v>
      </c>
    </row>
    <row r="9" spans="1:6" ht="44.25" customHeight="1">
      <c r="A9" s="231"/>
      <c r="B9" s="231"/>
      <c r="C9" s="231"/>
      <c r="D9" s="231"/>
      <c r="E9" s="231"/>
      <c r="F9" s="231"/>
    </row>
    <row r="10" spans="1:6" ht="18.75">
      <c r="A10" s="113">
        <v>1</v>
      </c>
      <c r="B10" s="113">
        <v>2</v>
      </c>
      <c r="C10" s="114">
        <v>3</v>
      </c>
      <c r="D10" s="113">
        <v>4</v>
      </c>
      <c r="E10" s="113">
        <v>5</v>
      </c>
      <c r="F10" s="113">
        <v>6</v>
      </c>
    </row>
    <row r="11" spans="1:6" ht="20.25" customHeight="1">
      <c r="A11" s="115">
        <v>10000000</v>
      </c>
      <c r="B11" s="116" t="s">
        <v>19</v>
      </c>
      <c r="C11" s="124">
        <f>C12+C21+C26+C32+C50</f>
        <v>78141243</v>
      </c>
      <c r="D11" s="124">
        <f>D12+D21+D26+D32+D50</f>
        <v>78063943</v>
      </c>
      <c r="E11" s="124">
        <f>E12+E19+E21+E26+E32+E50</f>
        <v>77300</v>
      </c>
      <c r="F11" s="124">
        <f>F12+F19+F21+F26+F32+F50</f>
        <v>0</v>
      </c>
    </row>
    <row r="12" spans="1:6" ht="72">
      <c r="A12" s="115">
        <v>11000000</v>
      </c>
      <c r="B12" s="116" t="s">
        <v>20</v>
      </c>
      <c r="C12" s="124">
        <f>C13+C19</f>
        <v>42687683</v>
      </c>
      <c r="D12" s="124">
        <f>D13+D19</f>
        <v>42687683</v>
      </c>
      <c r="E12" s="124">
        <f>E13+E19</f>
        <v>0</v>
      </c>
      <c r="F12" s="124">
        <f>F13+F19</f>
        <v>0</v>
      </c>
    </row>
    <row r="13" spans="1:6" ht="36">
      <c r="A13" s="115">
        <v>11010000</v>
      </c>
      <c r="B13" s="116" t="s">
        <v>21</v>
      </c>
      <c r="C13" s="124">
        <f>SUM(C14:C17)</f>
        <v>42659683</v>
      </c>
      <c r="D13" s="122">
        <f>SUM(D14:D17)</f>
        <v>42659683</v>
      </c>
      <c r="E13" s="118"/>
      <c r="F13" s="118"/>
    </row>
    <row r="14" spans="1:6" ht="93.75">
      <c r="A14" s="119">
        <v>11010100</v>
      </c>
      <c r="B14" s="120" t="s">
        <v>22</v>
      </c>
      <c r="C14" s="117">
        <v>31426071</v>
      </c>
      <c r="D14" s="122">
        <v>31426071</v>
      </c>
      <c r="E14" s="122"/>
      <c r="F14" s="122"/>
    </row>
    <row r="15" spans="1:6" ht="168.75">
      <c r="A15" s="119">
        <v>11010200</v>
      </c>
      <c r="B15" s="120" t="s">
        <v>23</v>
      </c>
      <c r="C15" s="117">
        <f>1400000+99900</f>
        <v>1499900</v>
      </c>
      <c r="D15" s="122">
        <f>1400000+99900</f>
        <v>1499900</v>
      </c>
      <c r="E15" s="122"/>
      <c r="F15" s="122"/>
    </row>
    <row r="16" spans="1:6" ht="93.75">
      <c r="A16" s="119">
        <v>11010400</v>
      </c>
      <c r="B16" s="120" t="s">
        <v>24</v>
      </c>
      <c r="C16" s="117">
        <f>8900000+164012+5000+70000+98000</f>
        <v>9237012</v>
      </c>
      <c r="D16" s="122">
        <f>8900000+164012+5000+70000+98000</f>
        <v>9237012</v>
      </c>
      <c r="E16" s="122"/>
      <c r="F16" s="122"/>
    </row>
    <row r="17" spans="1:6" ht="75">
      <c r="A17" s="119">
        <v>11010500</v>
      </c>
      <c r="B17" s="120" t="s">
        <v>25</v>
      </c>
      <c r="C17" s="117">
        <f>470000+26700</f>
        <v>496700</v>
      </c>
      <c r="D17" s="122">
        <f>470000+26700</f>
        <v>496700</v>
      </c>
      <c r="E17" s="122"/>
      <c r="F17" s="122"/>
    </row>
    <row r="18" spans="1:6" ht="131.25">
      <c r="A18" s="119">
        <v>11010900</v>
      </c>
      <c r="B18" s="120" t="s">
        <v>26</v>
      </c>
      <c r="C18" s="117"/>
      <c r="D18" s="122"/>
      <c r="E18" s="122"/>
      <c r="F18" s="122"/>
    </row>
    <row r="19" spans="1:6" ht="36">
      <c r="A19" s="115">
        <v>11020000</v>
      </c>
      <c r="B19" s="116" t="s">
        <v>27</v>
      </c>
      <c r="C19" s="117">
        <f>7500+20500</f>
        <v>28000</v>
      </c>
      <c r="D19" s="118">
        <f>7500+20500</f>
        <v>28000</v>
      </c>
      <c r="E19" s="118"/>
      <c r="F19" s="118"/>
    </row>
    <row r="20" spans="1:6" ht="56.25">
      <c r="A20" s="119">
        <v>11020200</v>
      </c>
      <c r="B20" s="120" t="s">
        <v>28</v>
      </c>
      <c r="C20" s="121">
        <f>7500+20500</f>
        <v>28000</v>
      </c>
      <c r="D20" s="122">
        <f>7500+20500</f>
        <v>28000</v>
      </c>
      <c r="E20" s="122"/>
      <c r="F20" s="122"/>
    </row>
    <row r="21" spans="1:6" ht="54">
      <c r="A21" s="115">
        <v>13000000</v>
      </c>
      <c r="B21" s="116" t="s">
        <v>29</v>
      </c>
      <c r="C21" s="117">
        <f>1621000+740+39300</f>
        <v>1661040</v>
      </c>
      <c r="D21" s="118">
        <f>1621000+740+39300</f>
        <v>1661040</v>
      </c>
      <c r="E21" s="118"/>
      <c r="F21" s="118"/>
    </row>
    <row r="22" spans="1:6" ht="54">
      <c r="A22" s="115">
        <v>13010000</v>
      </c>
      <c r="B22" s="116" t="s">
        <v>30</v>
      </c>
      <c r="C22" s="117">
        <f>1621000+39300</f>
        <v>1660300</v>
      </c>
      <c r="D22" s="118">
        <f>1621000+39300</f>
        <v>1660300</v>
      </c>
      <c r="E22" s="118"/>
      <c r="F22" s="118"/>
    </row>
    <row r="23" spans="1:6" ht="93.75">
      <c r="A23" s="119">
        <v>13010100</v>
      </c>
      <c r="B23" s="120" t="s">
        <v>311</v>
      </c>
      <c r="C23" s="125">
        <v>420000</v>
      </c>
      <c r="D23" s="119">
        <v>420000</v>
      </c>
      <c r="E23" s="118"/>
      <c r="F23" s="118"/>
    </row>
    <row r="24" spans="1:6" ht="131.25">
      <c r="A24" s="119">
        <v>13010200</v>
      </c>
      <c r="B24" s="120" t="s">
        <v>31</v>
      </c>
      <c r="C24" s="121">
        <f>1201000+39300</f>
        <v>1240300</v>
      </c>
      <c r="D24" s="122">
        <f>1201000+39300</f>
        <v>1240300</v>
      </c>
      <c r="E24" s="122"/>
      <c r="F24" s="122"/>
    </row>
    <row r="25" spans="1:6" ht="75">
      <c r="A25" s="119">
        <v>13030100</v>
      </c>
      <c r="B25" s="120" t="s">
        <v>404</v>
      </c>
      <c r="C25" s="121">
        <v>740</v>
      </c>
      <c r="D25" s="122">
        <v>740</v>
      </c>
      <c r="E25" s="122"/>
      <c r="F25" s="122"/>
    </row>
    <row r="26" spans="1:6" ht="36">
      <c r="A26" s="115">
        <v>14000000</v>
      </c>
      <c r="B26" s="116" t="s">
        <v>32</v>
      </c>
      <c r="C26" s="117">
        <v>10600000</v>
      </c>
      <c r="D26" s="118">
        <v>10600000</v>
      </c>
      <c r="E26" s="118"/>
      <c r="F26" s="118"/>
    </row>
    <row r="27" spans="1:6" ht="75">
      <c r="A27" s="119">
        <v>14040000</v>
      </c>
      <c r="B27" s="120" t="s">
        <v>33</v>
      </c>
      <c r="C27" s="121">
        <v>1100000</v>
      </c>
      <c r="D27" s="199">
        <v>1100000</v>
      </c>
      <c r="E27" s="122"/>
      <c r="F27" s="122"/>
    </row>
    <row r="28" spans="1:6" ht="56.25">
      <c r="A28" s="119">
        <v>14020000</v>
      </c>
      <c r="B28" s="120" t="s">
        <v>158</v>
      </c>
      <c r="C28" s="121">
        <v>2000000</v>
      </c>
      <c r="D28" s="122">
        <v>2000000</v>
      </c>
      <c r="E28" s="122"/>
      <c r="F28" s="122"/>
    </row>
    <row r="29" spans="1:6" ht="18.75">
      <c r="A29" s="119">
        <v>14021900</v>
      </c>
      <c r="B29" s="120" t="s">
        <v>243</v>
      </c>
      <c r="C29" s="121">
        <v>2000000</v>
      </c>
      <c r="D29" s="122">
        <v>2000000</v>
      </c>
      <c r="E29" s="122"/>
      <c r="F29" s="122"/>
    </row>
    <row r="30" spans="1:6" ht="56.25">
      <c r="A30" s="119">
        <v>14030000</v>
      </c>
      <c r="B30" s="120" t="s">
        <v>159</v>
      </c>
      <c r="C30" s="121">
        <v>7500000</v>
      </c>
      <c r="D30" s="122">
        <v>7500000</v>
      </c>
      <c r="E30" s="122"/>
      <c r="F30" s="122"/>
    </row>
    <row r="31" spans="1:6" ht="18.75">
      <c r="A31" s="119">
        <v>14031900</v>
      </c>
      <c r="B31" s="120" t="s">
        <v>243</v>
      </c>
      <c r="C31" s="121">
        <v>7500000</v>
      </c>
      <c r="D31" s="122">
        <v>7500000</v>
      </c>
      <c r="E31" s="122"/>
      <c r="F31" s="122"/>
    </row>
    <row r="32" spans="1:6" ht="18.75">
      <c r="A32" s="115">
        <v>18000000</v>
      </c>
      <c r="B32" s="116" t="s">
        <v>193</v>
      </c>
      <c r="C32" s="124">
        <f>C33+C43+C46</f>
        <v>23115220</v>
      </c>
      <c r="D32" s="118">
        <f>D33+D43+D46</f>
        <v>23115220</v>
      </c>
      <c r="E32" s="118"/>
      <c r="F32" s="118"/>
    </row>
    <row r="33" spans="1:6" ht="18.75">
      <c r="A33" s="115">
        <v>18010000</v>
      </c>
      <c r="B33" s="116" t="s">
        <v>34</v>
      </c>
      <c r="C33" s="124">
        <f>SUM(C34:C42)</f>
        <v>11653700</v>
      </c>
      <c r="D33" s="118">
        <f>SUM(D34:D42)</f>
        <v>11653700</v>
      </c>
      <c r="E33" s="118"/>
      <c r="F33" s="118"/>
    </row>
    <row r="34" spans="1:6" ht="93.75">
      <c r="A34" s="119">
        <v>18010100</v>
      </c>
      <c r="B34" s="120" t="s">
        <v>35</v>
      </c>
      <c r="C34" s="121">
        <v>14000</v>
      </c>
      <c r="D34" s="122">
        <v>14000</v>
      </c>
      <c r="E34" s="122"/>
      <c r="F34" s="122"/>
    </row>
    <row r="35" spans="1:6" ht="93.75">
      <c r="A35" s="119">
        <v>18010200</v>
      </c>
      <c r="B35" s="120" t="s">
        <v>36</v>
      </c>
      <c r="C35" s="121">
        <v>160000</v>
      </c>
      <c r="D35" s="122">
        <v>160000</v>
      </c>
      <c r="E35" s="122"/>
      <c r="F35" s="122"/>
    </row>
    <row r="36" spans="1:6" ht="93.75">
      <c r="A36" s="119">
        <v>18010300</v>
      </c>
      <c r="B36" s="120" t="s">
        <v>37</v>
      </c>
      <c r="C36" s="121">
        <v>30000</v>
      </c>
      <c r="D36" s="122">
        <v>30000</v>
      </c>
      <c r="E36" s="122"/>
      <c r="F36" s="122"/>
    </row>
    <row r="37" spans="1:6" ht="93.75">
      <c r="A37" s="119">
        <v>18010400</v>
      </c>
      <c r="B37" s="120" t="s">
        <v>38</v>
      </c>
      <c r="C37" s="121">
        <f>780000+130000</f>
        <v>910000</v>
      </c>
      <c r="D37" s="122">
        <f>780000+130000</f>
        <v>910000</v>
      </c>
      <c r="E37" s="122"/>
      <c r="F37" s="122"/>
    </row>
    <row r="38" spans="1:6" ht="37.5">
      <c r="A38" s="119">
        <v>18010500</v>
      </c>
      <c r="B38" s="120" t="s">
        <v>39</v>
      </c>
      <c r="C38" s="121">
        <f>230000+109900</f>
        <v>339900</v>
      </c>
      <c r="D38" s="122">
        <f>230000+109900</f>
        <v>339900</v>
      </c>
      <c r="E38" s="122"/>
      <c r="F38" s="122"/>
    </row>
    <row r="39" spans="1:6" ht="37.5">
      <c r="A39" s="119">
        <v>18010600</v>
      </c>
      <c r="B39" s="120" t="s">
        <v>40</v>
      </c>
      <c r="C39" s="121">
        <v>7700000</v>
      </c>
      <c r="D39" s="122">
        <v>7700000</v>
      </c>
      <c r="E39" s="122"/>
      <c r="F39" s="122"/>
    </row>
    <row r="40" spans="1:6" ht="37.5">
      <c r="A40" s="119">
        <v>18010700</v>
      </c>
      <c r="B40" s="120" t="s">
        <v>41</v>
      </c>
      <c r="C40" s="121">
        <f>670000+4800</f>
        <v>674800</v>
      </c>
      <c r="D40" s="122">
        <f>670000+4800</f>
        <v>674800</v>
      </c>
      <c r="E40" s="122"/>
      <c r="F40" s="122"/>
    </row>
    <row r="41" spans="1:6" ht="18.75">
      <c r="A41" s="119">
        <v>18010900</v>
      </c>
      <c r="B41" s="120" t="s">
        <v>42</v>
      </c>
      <c r="C41" s="121">
        <v>1800000</v>
      </c>
      <c r="D41" s="122">
        <v>1800000</v>
      </c>
      <c r="E41" s="122"/>
      <c r="F41" s="122"/>
    </row>
    <row r="42" spans="1:6" ht="37.5">
      <c r="A42" s="119">
        <v>18011000</v>
      </c>
      <c r="B42" s="120" t="s">
        <v>43</v>
      </c>
      <c r="C42" s="121">
        <v>25000</v>
      </c>
      <c r="D42" s="122">
        <v>25000</v>
      </c>
      <c r="E42" s="122"/>
      <c r="F42" s="122"/>
    </row>
    <row r="43" spans="1:6" ht="18.75">
      <c r="A43" s="115">
        <v>18030000</v>
      </c>
      <c r="B43" s="116" t="s">
        <v>44</v>
      </c>
      <c r="C43" s="124">
        <f>SUM(C44:C45)</f>
        <v>4820</v>
      </c>
      <c r="D43" s="118">
        <f>SUM(D44:D45)</f>
        <v>4820</v>
      </c>
      <c r="E43" s="118"/>
      <c r="F43" s="118"/>
    </row>
    <row r="44" spans="1:6" ht="37.5">
      <c r="A44" s="119">
        <v>18030100</v>
      </c>
      <c r="B44" s="120" t="s">
        <v>138</v>
      </c>
      <c r="C44" s="125">
        <f>1200+240</f>
        <v>1440</v>
      </c>
      <c r="D44" s="122">
        <f>1200+240</f>
        <v>1440</v>
      </c>
      <c r="E44" s="118"/>
      <c r="F44" s="118"/>
    </row>
    <row r="45" spans="1:6" ht="37.5">
      <c r="A45" s="119">
        <v>18030200</v>
      </c>
      <c r="B45" s="120" t="s">
        <v>45</v>
      </c>
      <c r="C45" s="121">
        <f>1600+1780</f>
        <v>3380</v>
      </c>
      <c r="D45" s="122">
        <f>1600+1780</f>
        <v>3380</v>
      </c>
      <c r="E45" s="122"/>
      <c r="F45" s="122"/>
    </row>
    <row r="46" spans="1:6" ht="18.75">
      <c r="A46" s="115">
        <v>18050000</v>
      </c>
      <c r="B46" s="116" t="s">
        <v>46</v>
      </c>
      <c r="C46" s="124">
        <f>SUM(C47:C49)</f>
        <v>11456700</v>
      </c>
      <c r="D46" s="118">
        <f>SUM(D47:D49)</f>
        <v>11456700</v>
      </c>
      <c r="E46" s="118"/>
      <c r="F46" s="118"/>
    </row>
    <row r="47" spans="1:6" ht="37.5">
      <c r="A47" s="119">
        <v>18050300</v>
      </c>
      <c r="B47" s="120" t="s">
        <v>47</v>
      </c>
      <c r="C47" s="121">
        <f>200000+272700</f>
        <v>472700</v>
      </c>
      <c r="D47" s="122">
        <f>200000+272700</f>
        <v>472700</v>
      </c>
      <c r="E47" s="122"/>
      <c r="F47" s="122"/>
    </row>
    <row r="48" spans="1:6" ht="18.75">
      <c r="A48" s="119">
        <v>18050400</v>
      </c>
      <c r="B48" s="120" t="s">
        <v>48</v>
      </c>
      <c r="C48" s="121">
        <f>4400000+359400</f>
        <v>4759400</v>
      </c>
      <c r="D48" s="122">
        <f>4400000+359400</f>
        <v>4759400</v>
      </c>
      <c r="E48" s="122"/>
      <c r="F48" s="122"/>
    </row>
    <row r="49" spans="1:6" ht="150">
      <c r="A49" s="119">
        <v>18050500</v>
      </c>
      <c r="B49" s="120" t="s">
        <v>49</v>
      </c>
      <c r="C49" s="121">
        <v>6224600</v>
      </c>
      <c r="D49" s="122">
        <v>6224600</v>
      </c>
      <c r="E49" s="122"/>
      <c r="F49" s="122"/>
    </row>
    <row r="50" spans="1:6" ht="18.75">
      <c r="A50" s="115">
        <v>19000000</v>
      </c>
      <c r="B50" s="116" t="s">
        <v>50</v>
      </c>
      <c r="C50" s="124">
        <f>D50+E50</f>
        <v>77300</v>
      </c>
      <c r="D50" s="118"/>
      <c r="E50" s="118">
        <v>77300</v>
      </c>
      <c r="F50" s="118"/>
    </row>
    <row r="51" spans="1:6" ht="18.75">
      <c r="A51" s="115">
        <v>19010000</v>
      </c>
      <c r="B51" s="116" t="s">
        <v>51</v>
      </c>
      <c r="C51" s="124">
        <f>D51+E51</f>
        <v>77300</v>
      </c>
      <c r="D51" s="118"/>
      <c r="E51" s="118">
        <v>77300</v>
      </c>
      <c r="F51" s="118"/>
    </row>
    <row r="52" spans="1:6" ht="93.75">
      <c r="A52" s="119">
        <v>19010100</v>
      </c>
      <c r="B52" s="120" t="s">
        <v>52</v>
      </c>
      <c r="C52" s="121">
        <v>23000</v>
      </c>
      <c r="D52" s="122"/>
      <c r="E52" s="122">
        <v>23000</v>
      </c>
      <c r="F52" s="122"/>
    </row>
    <row r="53" spans="1:6" ht="56.25">
      <c r="A53" s="119">
        <v>19010200</v>
      </c>
      <c r="B53" s="120" t="s">
        <v>53</v>
      </c>
      <c r="C53" s="121">
        <v>7000</v>
      </c>
      <c r="D53" s="122"/>
      <c r="E53" s="122">
        <v>7000</v>
      </c>
      <c r="F53" s="122"/>
    </row>
    <row r="54" spans="1:6" ht="93.75">
      <c r="A54" s="119">
        <v>19010300</v>
      </c>
      <c r="B54" s="120" t="s">
        <v>54</v>
      </c>
      <c r="C54" s="121">
        <v>47300</v>
      </c>
      <c r="D54" s="122"/>
      <c r="E54" s="122">
        <v>47300</v>
      </c>
      <c r="F54" s="122"/>
    </row>
    <row r="55" spans="1:6" ht="18">
      <c r="A55" s="115">
        <v>20000000</v>
      </c>
      <c r="B55" s="116" t="s">
        <v>55</v>
      </c>
      <c r="C55" s="117">
        <f>D55+E55</f>
        <v>3126495</v>
      </c>
      <c r="D55" s="118">
        <f>D56+D63+D70+D73</f>
        <v>811990</v>
      </c>
      <c r="E55" s="118">
        <v>2314505</v>
      </c>
      <c r="F55" s="118"/>
    </row>
    <row r="56" spans="1:6" ht="54">
      <c r="A56" s="115">
        <v>21000000</v>
      </c>
      <c r="B56" s="116" t="s">
        <v>56</v>
      </c>
      <c r="C56" s="117">
        <v>25800</v>
      </c>
      <c r="D56" s="118">
        <v>25800</v>
      </c>
      <c r="E56" s="118"/>
      <c r="F56" s="118"/>
    </row>
    <row r="57" spans="1:6" ht="198">
      <c r="A57" s="115">
        <v>21010000</v>
      </c>
      <c r="B57" s="116" t="s">
        <v>57</v>
      </c>
      <c r="C57" s="117"/>
      <c r="D57" s="118">
        <v>0</v>
      </c>
      <c r="E57" s="118"/>
      <c r="F57" s="118"/>
    </row>
    <row r="58" spans="1:6" ht="93.75">
      <c r="A58" s="119">
        <v>21010300</v>
      </c>
      <c r="B58" s="120" t="s">
        <v>133</v>
      </c>
      <c r="C58" s="121"/>
      <c r="D58" s="122">
        <v>0</v>
      </c>
      <c r="E58" s="122"/>
      <c r="F58" s="122"/>
    </row>
    <row r="59" spans="1:6" ht="56.25">
      <c r="A59" s="119">
        <v>21050000</v>
      </c>
      <c r="B59" s="120" t="s">
        <v>254</v>
      </c>
      <c r="C59" s="121"/>
      <c r="D59" s="122"/>
      <c r="E59" s="122"/>
      <c r="F59" s="122"/>
    </row>
    <row r="60" spans="1:6" ht="18.75">
      <c r="A60" s="115">
        <v>21080000</v>
      </c>
      <c r="B60" s="116" t="s">
        <v>58</v>
      </c>
      <c r="C60" s="117">
        <f>SUM(C61:C62)</f>
        <v>25800</v>
      </c>
      <c r="D60" s="166">
        <f>SUM(D61:D62)</f>
        <v>25800</v>
      </c>
      <c r="E60" s="118"/>
      <c r="F60" s="118"/>
    </row>
    <row r="61" spans="1:6" ht="37.5">
      <c r="A61" s="119">
        <v>21081100</v>
      </c>
      <c r="B61" s="120" t="s">
        <v>59</v>
      </c>
      <c r="C61" s="121">
        <f>8800+3000</f>
        <v>11800</v>
      </c>
      <c r="D61" s="122">
        <f>8800+3000</f>
        <v>11800</v>
      </c>
      <c r="E61" s="122"/>
      <c r="F61" s="122"/>
    </row>
    <row r="62" spans="1:6" ht="18.75">
      <c r="A62" s="119">
        <v>21081500</v>
      </c>
      <c r="B62" s="120" t="s">
        <v>58</v>
      </c>
      <c r="C62" s="121">
        <v>14000</v>
      </c>
      <c r="D62" s="122">
        <v>14000</v>
      </c>
      <c r="E62" s="122"/>
      <c r="F62" s="122"/>
    </row>
    <row r="63" spans="1:6" ht="72">
      <c r="A63" s="115">
        <v>22000000</v>
      </c>
      <c r="B63" s="116" t="s">
        <v>60</v>
      </c>
      <c r="C63" s="117">
        <v>780000</v>
      </c>
      <c r="D63" s="118">
        <v>780000</v>
      </c>
      <c r="E63" s="118"/>
      <c r="F63" s="118"/>
    </row>
    <row r="64" spans="1:6" ht="36">
      <c r="A64" s="115">
        <v>22010000</v>
      </c>
      <c r="B64" s="116" t="s">
        <v>61</v>
      </c>
      <c r="C64" s="117">
        <v>720000</v>
      </c>
      <c r="D64" s="118">
        <v>720000</v>
      </c>
      <c r="E64" s="118"/>
      <c r="F64" s="118"/>
    </row>
    <row r="65" spans="1:6" ht="37.5">
      <c r="A65" s="119">
        <v>22012500</v>
      </c>
      <c r="B65" s="120" t="s">
        <v>62</v>
      </c>
      <c r="C65" s="121">
        <v>630000</v>
      </c>
      <c r="D65" s="122">
        <v>630000</v>
      </c>
      <c r="E65" s="122"/>
      <c r="F65" s="122"/>
    </row>
    <row r="66" spans="1:6" ht="75">
      <c r="A66" s="119">
        <v>22012600</v>
      </c>
      <c r="B66" s="120" t="s">
        <v>129</v>
      </c>
      <c r="C66" s="121">
        <v>90000</v>
      </c>
      <c r="D66" s="122">
        <v>90000</v>
      </c>
      <c r="E66" s="122"/>
      <c r="F66" s="122"/>
    </row>
    <row r="67" spans="1:6" ht="18">
      <c r="A67" s="115">
        <v>22090000</v>
      </c>
      <c r="B67" s="116" t="s">
        <v>63</v>
      </c>
      <c r="C67" s="117">
        <v>60000</v>
      </c>
      <c r="D67" s="118">
        <v>60000</v>
      </c>
      <c r="E67" s="118"/>
      <c r="F67" s="118"/>
    </row>
    <row r="68" spans="1:6" ht="93.75">
      <c r="A68" s="119">
        <v>22090100</v>
      </c>
      <c r="B68" s="120" t="s">
        <v>64</v>
      </c>
      <c r="C68" s="121">
        <v>50000</v>
      </c>
      <c r="D68" s="122">
        <v>50000</v>
      </c>
      <c r="E68" s="122"/>
      <c r="F68" s="122"/>
    </row>
    <row r="69" spans="1:6" ht="93.75">
      <c r="A69" s="119">
        <v>22090400</v>
      </c>
      <c r="B69" s="120" t="s">
        <v>65</v>
      </c>
      <c r="C69" s="121">
        <v>10000</v>
      </c>
      <c r="D69" s="122">
        <v>10000</v>
      </c>
      <c r="E69" s="122"/>
      <c r="F69" s="122"/>
    </row>
    <row r="70" spans="1:6" ht="18.75">
      <c r="A70" s="115">
        <v>24060000</v>
      </c>
      <c r="B70" s="116" t="s">
        <v>58</v>
      </c>
      <c r="C70" s="124">
        <v>6190</v>
      </c>
      <c r="D70" s="166">
        <v>6190</v>
      </c>
      <c r="E70" s="166"/>
      <c r="F70" s="166"/>
    </row>
    <row r="71" spans="1:6" ht="18.75">
      <c r="A71" s="119">
        <v>24060300</v>
      </c>
      <c r="B71" s="120" t="s">
        <v>58</v>
      </c>
      <c r="C71" s="121">
        <v>6190</v>
      </c>
      <c r="D71" s="122">
        <v>6190</v>
      </c>
      <c r="E71" s="122"/>
      <c r="F71" s="122"/>
    </row>
    <row r="72" spans="1:6" ht="56.25">
      <c r="A72" s="119">
        <v>24170000</v>
      </c>
      <c r="B72" s="120" t="s">
        <v>13</v>
      </c>
      <c r="C72" s="121"/>
      <c r="D72" s="122"/>
      <c r="E72" s="122"/>
      <c r="F72" s="122"/>
    </row>
    <row r="73" spans="1:6" ht="36">
      <c r="A73" s="115">
        <v>25000000</v>
      </c>
      <c r="B73" s="116" t="s">
        <v>66</v>
      </c>
      <c r="C73" s="117">
        <v>2314505</v>
      </c>
      <c r="D73" s="118"/>
      <c r="E73" s="118">
        <v>2314505</v>
      </c>
      <c r="F73" s="118"/>
    </row>
    <row r="74" spans="1:6" ht="72">
      <c r="A74" s="115">
        <v>25010000</v>
      </c>
      <c r="B74" s="116" t="s">
        <v>67</v>
      </c>
      <c r="C74" s="117">
        <v>2314505</v>
      </c>
      <c r="D74" s="118"/>
      <c r="E74" s="118">
        <f>SUM(E75:E78)</f>
        <v>2314505</v>
      </c>
      <c r="F74" s="118"/>
    </row>
    <row r="75" spans="1:6" ht="56.25">
      <c r="A75" s="119">
        <v>25010100</v>
      </c>
      <c r="B75" s="120" t="s">
        <v>68</v>
      </c>
      <c r="C75" s="117">
        <v>2273905</v>
      </c>
      <c r="D75" s="122"/>
      <c r="E75" s="122">
        <v>2273905</v>
      </c>
      <c r="F75" s="122"/>
    </row>
    <row r="76" spans="1:6" ht="56.25">
      <c r="A76" s="119">
        <v>25010200</v>
      </c>
      <c r="B76" s="120" t="s">
        <v>69</v>
      </c>
      <c r="C76" s="117"/>
      <c r="D76" s="122"/>
      <c r="E76" s="122"/>
      <c r="F76" s="122"/>
    </row>
    <row r="77" spans="1:6" ht="37.5">
      <c r="A77" s="119">
        <v>25010300</v>
      </c>
      <c r="B77" s="120" t="s">
        <v>70</v>
      </c>
      <c r="C77" s="117">
        <v>35600</v>
      </c>
      <c r="D77" s="122"/>
      <c r="E77" s="122">
        <v>35600</v>
      </c>
      <c r="F77" s="122"/>
    </row>
    <row r="78" spans="1:6" ht="75">
      <c r="A78" s="119">
        <v>25010400</v>
      </c>
      <c r="B78" s="120" t="s">
        <v>71</v>
      </c>
      <c r="C78" s="117">
        <v>5000</v>
      </c>
      <c r="D78" s="122"/>
      <c r="E78" s="122">
        <v>5000</v>
      </c>
      <c r="F78" s="122"/>
    </row>
    <row r="79" spans="1:6" ht="36">
      <c r="A79" s="115">
        <v>30000000</v>
      </c>
      <c r="B79" s="116" t="s">
        <v>72</v>
      </c>
      <c r="C79" s="117">
        <f>318000+300</f>
        <v>318300</v>
      </c>
      <c r="D79" s="118">
        <v>300</v>
      </c>
      <c r="E79" s="118">
        <v>318000</v>
      </c>
      <c r="F79" s="118">
        <v>318000</v>
      </c>
    </row>
    <row r="80" spans="1:6" ht="36">
      <c r="A80" s="115">
        <v>31000000</v>
      </c>
      <c r="B80" s="116" t="s">
        <v>73</v>
      </c>
      <c r="C80" s="117">
        <v>300</v>
      </c>
      <c r="D80" s="118">
        <v>300</v>
      </c>
      <c r="E80" s="118"/>
      <c r="F80" s="118"/>
    </row>
    <row r="81" spans="1:6" ht="180">
      <c r="A81" s="115">
        <v>31010000</v>
      </c>
      <c r="B81" s="116" t="s">
        <v>74</v>
      </c>
      <c r="C81" s="117">
        <v>300</v>
      </c>
      <c r="D81" s="118">
        <v>300</v>
      </c>
      <c r="E81" s="118"/>
      <c r="F81" s="118"/>
    </row>
    <row r="82" spans="1:6" ht="150">
      <c r="A82" s="119">
        <v>31010200</v>
      </c>
      <c r="B82" s="120" t="s">
        <v>132</v>
      </c>
      <c r="C82" s="121">
        <v>300</v>
      </c>
      <c r="D82" s="122">
        <v>300</v>
      </c>
      <c r="E82" s="122"/>
      <c r="F82" s="122"/>
    </row>
    <row r="83" spans="1:6" ht="36">
      <c r="A83" s="115">
        <v>33000000</v>
      </c>
      <c r="B83" s="116" t="s">
        <v>122</v>
      </c>
      <c r="C83" s="117">
        <v>318000</v>
      </c>
      <c r="D83" s="118"/>
      <c r="E83" s="118">
        <v>318000</v>
      </c>
      <c r="F83" s="118">
        <v>318000</v>
      </c>
    </row>
    <row r="84" spans="1:6" ht="18">
      <c r="A84" s="115">
        <v>33010000</v>
      </c>
      <c r="B84" s="116" t="s">
        <v>123</v>
      </c>
      <c r="C84" s="117">
        <v>318000</v>
      </c>
      <c r="D84" s="118"/>
      <c r="E84" s="118"/>
      <c r="F84" s="118"/>
    </row>
    <row r="85" spans="1:6" ht="150">
      <c r="A85" s="119">
        <v>33010100</v>
      </c>
      <c r="B85" s="120" t="s">
        <v>124</v>
      </c>
      <c r="C85" s="121">
        <v>318000</v>
      </c>
      <c r="D85" s="122"/>
      <c r="E85" s="122">
        <v>318000</v>
      </c>
      <c r="F85" s="122">
        <v>318000</v>
      </c>
    </row>
    <row r="86" spans="1:6" ht="54" customHeight="1">
      <c r="A86" s="117"/>
      <c r="B86" s="209" t="s">
        <v>318</v>
      </c>
      <c r="C86" s="117">
        <f>D86+E86</f>
        <v>81586038</v>
      </c>
      <c r="D86" s="117">
        <f>D79+D55+D32+D21+D13+D26+D19</f>
        <v>78876233</v>
      </c>
      <c r="E86" s="117">
        <f>+E55+E83+E50+E70</f>
        <v>2709805</v>
      </c>
      <c r="F86" s="117">
        <f>+F55+F83+F50+F70</f>
        <v>318000</v>
      </c>
    </row>
    <row r="87" spans="1:6" ht="18.75">
      <c r="A87" s="115">
        <v>40000000</v>
      </c>
      <c r="B87" s="116" t="s">
        <v>125</v>
      </c>
      <c r="C87" s="124">
        <f>C89+C91+C94+C96</f>
        <v>64374796</v>
      </c>
      <c r="D87" s="118">
        <f>D89+D91+D94+D96</f>
        <v>64224806</v>
      </c>
      <c r="E87" s="118">
        <f>E89+E91+E96</f>
        <v>149990</v>
      </c>
      <c r="F87" s="118">
        <f>F89+F91+F96</f>
        <v>149990</v>
      </c>
    </row>
    <row r="88" spans="1:6" ht="36">
      <c r="A88" s="115">
        <v>41000000</v>
      </c>
      <c r="B88" s="116" t="s">
        <v>126</v>
      </c>
      <c r="C88" s="124">
        <f>C89+C91</f>
        <v>57169900</v>
      </c>
      <c r="D88" s="118">
        <f>D89+D91</f>
        <v>57169900</v>
      </c>
      <c r="E88" s="118">
        <f>E89+E91+E96</f>
        <v>149990</v>
      </c>
      <c r="F88" s="118">
        <f>F89+F91+F96</f>
        <v>149990</v>
      </c>
    </row>
    <row r="89" spans="1:6" ht="45.75" customHeight="1">
      <c r="A89" s="115">
        <v>41020000</v>
      </c>
      <c r="B89" s="116" t="s">
        <v>239</v>
      </c>
      <c r="C89" s="124">
        <f>SUM(C90:C90)</f>
        <v>5550200</v>
      </c>
      <c r="D89" s="118">
        <f>SUM(D90:D90)</f>
        <v>5550200</v>
      </c>
      <c r="E89" s="118">
        <f>SUM(E90:E90)</f>
        <v>0</v>
      </c>
      <c r="F89" s="118"/>
    </row>
    <row r="90" spans="1:6" ht="18.75">
      <c r="A90" s="119">
        <v>41020100</v>
      </c>
      <c r="B90" s="120" t="s">
        <v>127</v>
      </c>
      <c r="C90" s="121">
        <v>5550200</v>
      </c>
      <c r="D90" s="122">
        <v>5550200</v>
      </c>
      <c r="E90" s="122"/>
      <c r="F90" s="122"/>
    </row>
    <row r="91" spans="1:6" ht="40.5" customHeight="1">
      <c r="A91" s="115">
        <v>41030000</v>
      </c>
      <c r="B91" s="116" t="s">
        <v>240</v>
      </c>
      <c r="C91" s="124">
        <f>SUM(C92:C93)</f>
        <v>51619700</v>
      </c>
      <c r="D91" s="118">
        <f>SUM(D92:D93)</f>
        <v>51619700</v>
      </c>
      <c r="E91" s="118"/>
      <c r="F91" s="118"/>
    </row>
    <row r="92" spans="1:6" ht="37.5">
      <c r="A92" s="119">
        <v>41033900</v>
      </c>
      <c r="B92" s="120" t="s">
        <v>128</v>
      </c>
      <c r="C92" s="121">
        <v>38193600</v>
      </c>
      <c r="D92" s="122">
        <v>38193600</v>
      </c>
      <c r="E92" s="122"/>
      <c r="F92" s="122"/>
    </row>
    <row r="93" spans="1:6" ht="37.5">
      <c r="A93" s="119">
        <v>41034200</v>
      </c>
      <c r="B93" s="120" t="s">
        <v>210</v>
      </c>
      <c r="C93" s="121">
        <v>13426100</v>
      </c>
      <c r="D93" s="122">
        <v>13426100</v>
      </c>
      <c r="E93" s="122"/>
      <c r="F93" s="122"/>
    </row>
    <row r="94" spans="1:6" ht="36">
      <c r="A94" s="116">
        <v>41040000</v>
      </c>
      <c r="B94" s="116" t="s">
        <v>241</v>
      </c>
      <c r="C94" s="124">
        <f>SUM(C95)</f>
        <v>5323436</v>
      </c>
      <c r="D94" s="162">
        <f>SUM(D95)</f>
        <v>5323436</v>
      </c>
      <c r="E94" s="122"/>
      <c r="F94" s="122"/>
    </row>
    <row r="95" spans="1:6" ht="131.25">
      <c r="A95" s="119">
        <v>41040200</v>
      </c>
      <c r="B95" s="120" t="s">
        <v>120</v>
      </c>
      <c r="C95" s="121">
        <v>5323436</v>
      </c>
      <c r="D95" s="122">
        <v>5323436</v>
      </c>
      <c r="E95" s="122"/>
      <c r="F95" s="122"/>
    </row>
    <row r="96" spans="1:6" ht="54">
      <c r="A96" s="116">
        <v>41050000</v>
      </c>
      <c r="B96" s="116" t="s">
        <v>242</v>
      </c>
      <c r="C96" s="124">
        <f>SUM(C97:C101)</f>
        <v>1881460</v>
      </c>
      <c r="D96" s="166">
        <f>SUM(D97:D101)</f>
        <v>1731470</v>
      </c>
      <c r="E96" s="122">
        <f>SUM(E97:E101)</f>
        <v>149990</v>
      </c>
      <c r="F96" s="122">
        <f>SUM(F97:F101)</f>
        <v>149990</v>
      </c>
    </row>
    <row r="97" spans="1:6" ht="18.75">
      <c r="A97" s="119">
        <v>41053900</v>
      </c>
      <c r="B97" s="119" t="s">
        <v>104</v>
      </c>
      <c r="C97" s="121">
        <f>112110+27000+149990</f>
        <v>289100</v>
      </c>
      <c r="D97" s="122">
        <f>112110+27000</f>
        <v>139110</v>
      </c>
      <c r="E97" s="119">
        <v>149990</v>
      </c>
      <c r="F97" s="119">
        <v>149990</v>
      </c>
    </row>
    <row r="98" spans="1:6" ht="75">
      <c r="A98" s="119">
        <v>41051000</v>
      </c>
      <c r="B98" s="120" t="s">
        <v>310</v>
      </c>
      <c r="C98" s="121">
        <v>661300</v>
      </c>
      <c r="D98" s="122">
        <v>661300</v>
      </c>
      <c r="E98" s="119"/>
      <c r="F98" s="119"/>
    </row>
    <row r="99" spans="1:6" ht="112.5">
      <c r="A99" s="119">
        <v>41051200</v>
      </c>
      <c r="B99" s="120" t="s">
        <v>250</v>
      </c>
      <c r="C99" s="121">
        <f>176771+51000</f>
        <v>227771</v>
      </c>
      <c r="D99" s="122">
        <f>176771+51000</f>
        <v>227771</v>
      </c>
      <c r="E99" s="119"/>
      <c r="F99" s="119"/>
    </row>
    <row r="100" spans="1:6" ht="131.25">
      <c r="A100" s="119">
        <v>41051400</v>
      </c>
      <c r="B100" s="120" t="s">
        <v>390</v>
      </c>
      <c r="C100" s="121">
        <v>549889</v>
      </c>
      <c r="D100" s="122">
        <v>549889</v>
      </c>
      <c r="E100" s="119"/>
      <c r="F100" s="119"/>
    </row>
    <row r="101" spans="1:6" ht="112.5">
      <c r="A101" s="119">
        <v>41052000</v>
      </c>
      <c r="B101" s="120" t="s">
        <v>121</v>
      </c>
      <c r="C101" s="121">
        <v>153400</v>
      </c>
      <c r="D101" s="122">
        <v>153400</v>
      </c>
      <c r="E101" s="122"/>
      <c r="F101" s="122"/>
    </row>
    <row r="102" spans="1:6" ht="18.75">
      <c r="A102" s="121"/>
      <c r="B102" s="123" t="s">
        <v>317</v>
      </c>
      <c r="C102" s="117">
        <f>C86+C87</f>
        <v>145960834</v>
      </c>
      <c r="D102" s="117">
        <f>D86+D87</f>
        <v>143101039</v>
      </c>
      <c r="E102" s="117">
        <f>E86+E87</f>
        <v>2859795</v>
      </c>
      <c r="F102" s="117">
        <f>F86+F87</f>
        <v>467990</v>
      </c>
    </row>
    <row r="104" spans="2:4" ht="18.75">
      <c r="B104" s="158" t="s">
        <v>251</v>
      </c>
      <c r="D104" s="158" t="s">
        <v>252</v>
      </c>
    </row>
  </sheetData>
  <sheetProtection/>
  <mergeCells count="8">
    <mergeCell ref="A5:F5"/>
    <mergeCell ref="A7:A9"/>
    <mergeCell ref="B7:B9"/>
    <mergeCell ref="C7:C9"/>
    <mergeCell ref="D7:D9"/>
    <mergeCell ref="E7:F7"/>
    <mergeCell ref="E8:E9"/>
    <mergeCell ref="F8:F9"/>
  </mergeCells>
  <printOptions horizontalCentered="1"/>
  <pageMargins left="0.7874015748031497" right="0.41" top="0.53" bottom="0.34" header="0.5118110236220472" footer="0.39"/>
  <pageSetup fitToHeight="8" horizontalDpi="300" verticalDpi="300" orientation="portrait" paperSize="9" scale="61" r:id="rId1"/>
  <headerFooter alignWithMargins="0">
    <oddFooter>&amp;R&amp;P</oddFooter>
  </headerFooter>
  <rowBreaks count="4" manualBreakCount="4">
    <brk id="23" max="5" man="1"/>
    <brk id="48" max="5" man="1"/>
    <brk id="68" max="5" man="1"/>
    <brk id="86" max="5" man="1"/>
  </rowBreaks>
</worksheet>
</file>

<file path=xl/worksheets/sheet2.xml><?xml version="1.0" encoding="utf-8"?>
<worksheet xmlns="http://schemas.openxmlformats.org/spreadsheetml/2006/main" xmlns:r="http://schemas.openxmlformats.org/officeDocument/2006/relationships">
  <dimension ref="A1:M33"/>
  <sheetViews>
    <sheetView showGridLines="0" showZeros="0" tabSelected="1" view="pageBreakPreview" zoomScaleSheetLayoutView="100" zoomScalePageLayoutView="0" workbookViewId="0" topLeftCell="A1">
      <selection activeCell="E14" sqref="E14"/>
    </sheetView>
  </sheetViews>
  <sheetFormatPr defaultColWidth="9.16015625" defaultRowHeight="12.75" customHeight="1"/>
  <cols>
    <col min="1" max="1" width="14.33203125" style="2" customWidth="1"/>
    <col min="2" max="2" width="46.33203125" style="2" customWidth="1"/>
    <col min="3" max="3" width="16.33203125" style="2" customWidth="1"/>
    <col min="4" max="4" width="19.5" style="2" customWidth="1"/>
    <col min="5" max="5" width="16.33203125" style="2" customWidth="1"/>
    <col min="6" max="6" width="18.83203125" style="2" customWidth="1"/>
    <col min="7" max="12" width="9.16015625" style="2" customWidth="1"/>
    <col min="13" max="16384" width="9.16015625" style="4" customWidth="1"/>
  </cols>
  <sheetData>
    <row r="1" spans="1:12" s="47" customFormat="1" ht="12.75" customHeight="1">
      <c r="A1" s="46"/>
      <c r="B1" s="46"/>
      <c r="C1" s="46"/>
      <c r="D1" s="46"/>
      <c r="E1" s="46"/>
      <c r="F1" s="46"/>
      <c r="G1" s="46"/>
      <c r="H1" s="46"/>
      <c r="I1" s="46"/>
      <c r="J1" s="46"/>
      <c r="K1" s="46"/>
      <c r="L1" s="46"/>
    </row>
    <row r="3" spans="3:13" ht="78.75" customHeight="1">
      <c r="C3" s="236" t="s">
        <v>414</v>
      </c>
      <c r="D3" s="236"/>
      <c r="E3" s="236"/>
      <c r="F3" s="236"/>
      <c r="M3" s="2"/>
    </row>
    <row r="4" spans="1:6" ht="36" customHeight="1">
      <c r="A4" s="238" t="s">
        <v>276</v>
      </c>
      <c r="B4" s="238"/>
      <c r="C4" s="238"/>
      <c r="D4" s="238"/>
      <c r="E4" s="238"/>
      <c r="F4" s="238"/>
    </row>
    <row r="5" spans="1:6" ht="12.75" customHeight="1">
      <c r="A5" s="235"/>
      <c r="B5" s="235"/>
      <c r="C5" s="235"/>
      <c r="D5" s="235"/>
      <c r="E5" s="235"/>
      <c r="F5" s="58" t="s">
        <v>131</v>
      </c>
    </row>
    <row r="6" spans="1:12" s="34" customFormat="1" ht="24.75" customHeight="1">
      <c r="A6" s="237" t="s">
        <v>161</v>
      </c>
      <c r="B6" s="237" t="s">
        <v>162</v>
      </c>
      <c r="C6" s="237" t="s">
        <v>8</v>
      </c>
      <c r="D6" s="237" t="s">
        <v>180</v>
      </c>
      <c r="E6" s="237" t="s">
        <v>181</v>
      </c>
      <c r="F6" s="237"/>
      <c r="G6" s="33"/>
      <c r="H6" s="33"/>
      <c r="I6" s="33"/>
      <c r="J6" s="33"/>
      <c r="K6" s="33"/>
      <c r="L6" s="33"/>
    </row>
    <row r="7" spans="1:12" s="34" customFormat="1" ht="38.25" customHeight="1">
      <c r="A7" s="237"/>
      <c r="B7" s="237"/>
      <c r="C7" s="237"/>
      <c r="D7" s="237"/>
      <c r="E7" s="52" t="s">
        <v>8</v>
      </c>
      <c r="F7" s="51" t="s">
        <v>9</v>
      </c>
      <c r="G7" s="33"/>
      <c r="H7" s="33"/>
      <c r="I7" s="33"/>
      <c r="J7" s="33"/>
      <c r="K7" s="33"/>
      <c r="L7" s="33"/>
    </row>
    <row r="8" spans="1:12" s="34" customFormat="1" ht="24" customHeight="1">
      <c r="A8" s="52"/>
      <c r="B8" s="52" t="s">
        <v>319</v>
      </c>
      <c r="C8" s="52"/>
      <c r="D8" s="52"/>
      <c r="E8" s="52"/>
      <c r="F8" s="51"/>
      <c r="G8" s="33"/>
      <c r="H8" s="33"/>
      <c r="I8" s="33"/>
      <c r="J8" s="33"/>
      <c r="K8" s="33"/>
      <c r="L8" s="33"/>
    </row>
    <row r="9" spans="1:12" s="35" customFormat="1" ht="26.25" customHeight="1">
      <c r="A9" s="138" t="s">
        <v>152</v>
      </c>
      <c r="B9" s="138" t="s">
        <v>153</v>
      </c>
      <c r="C9" s="139">
        <f aca="true" t="shared" si="0" ref="C9:C14">D9+E9</f>
        <v>5354841.13</v>
      </c>
      <c r="D9" s="139">
        <f>D10+D20+D21+D22+D13</f>
        <v>-5696756.000000001</v>
      </c>
      <c r="E9" s="139">
        <f>E10+E20+E21+E22</f>
        <v>11051597.13</v>
      </c>
      <c r="F9" s="139">
        <f>F10+F20+F21+F22</f>
        <v>11034948.13</v>
      </c>
      <c r="G9" s="2"/>
      <c r="H9" s="2"/>
      <c r="I9" s="2"/>
      <c r="J9" s="2"/>
      <c r="K9" s="2"/>
      <c r="L9" s="2"/>
    </row>
    <row r="10" spans="1:12" s="37" customFormat="1" ht="36" customHeight="1">
      <c r="A10" s="140">
        <v>208000</v>
      </c>
      <c r="B10" s="141" t="s">
        <v>154</v>
      </c>
      <c r="C10" s="139">
        <f t="shared" si="0"/>
        <v>5354841.13</v>
      </c>
      <c r="D10" s="139">
        <f>+D11+D12+D14+D15</f>
        <v>-5696756.000000001</v>
      </c>
      <c r="E10" s="139">
        <f>E11+E12+E14+E13+E15</f>
        <v>11051597.13</v>
      </c>
      <c r="F10" s="139">
        <f>F11+F12+F14+F13</f>
        <v>11034948.13</v>
      </c>
      <c r="G10" s="36"/>
      <c r="H10" s="36"/>
      <c r="I10" s="36"/>
      <c r="J10" s="36"/>
      <c r="K10" s="36"/>
      <c r="L10" s="36"/>
    </row>
    <row r="11" spans="1:12" s="37" customFormat="1" ht="33" customHeight="1">
      <c r="A11" s="140">
        <v>208100</v>
      </c>
      <c r="B11" s="141" t="s">
        <v>155</v>
      </c>
      <c r="C11" s="139">
        <f t="shared" si="0"/>
        <v>5354841.13</v>
      </c>
      <c r="D11" s="139">
        <f>639238+2797119.13+10686+996336+400000+11000+83318+11000</f>
        <v>4948697.13</v>
      </c>
      <c r="E11" s="139">
        <f>102706+260339+16649+26450</f>
        <v>406144</v>
      </c>
      <c r="F11" s="139">
        <f>102706+260339+26450</f>
        <v>389495</v>
      </c>
      <c r="G11" s="36"/>
      <c r="H11" s="36"/>
      <c r="I11" s="36"/>
      <c r="J11" s="36"/>
      <c r="K11" s="36"/>
      <c r="L11" s="36"/>
    </row>
    <row r="12" spans="1:12" s="37" customFormat="1" ht="40.5" customHeight="1">
      <c r="A12" s="142">
        <v>208400</v>
      </c>
      <c r="B12" s="143" t="s">
        <v>156</v>
      </c>
      <c r="C12" s="139">
        <f t="shared" si="0"/>
        <v>0</v>
      </c>
      <c r="D12" s="144">
        <f>-7383637.8-947000-13059-2950-97611-148100-25450</f>
        <v>-8617807.8</v>
      </c>
      <c r="E12" s="144">
        <f>7383637.8+947000+13059+2950+97611+148100+25450</f>
        <v>8617807.8</v>
      </c>
      <c r="F12" s="144">
        <f>E12</f>
        <v>8617807.8</v>
      </c>
      <c r="G12" s="36"/>
      <c r="H12" s="36"/>
      <c r="I12" s="36"/>
      <c r="J12" s="36"/>
      <c r="K12" s="36"/>
      <c r="L12" s="36"/>
    </row>
    <row r="13" spans="1:12" s="37" customFormat="1" ht="2.25" customHeight="1" hidden="1">
      <c r="A13" s="142">
        <v>208400</v>
      </c>
      <c r="B13" s="143" t="s">
        <v>387</v>
      </c>
      <c r="C13" s="139">
        <f t="shared" si="0"/>
        <v>0</v>
      </c>
      <c r="D13" s="142"/>
      <c r="E13" s="144"/>
      <c r="F13" s="144">
        <f>+E13</f>
        <v>0</v>
      </c>
      <c r="G13" s="36"/>
      <c r="H13" s="36"/>
      <c r="I13" s="36"/>
      <c r="J13" s="36"/>
      <c r="K13" s="36"/>
      <c r="L13" s="36"/>
    </row>
    <row r="14" spans="1:12" s="37" customFormat="1" ht="39.75" customHeight="1">
      <c r="A14" s="142">
        <v>208400</v>
      </c>
      <c r="B14" s="143" t="s">
        <v>381</v>
      </c>
      <c r="C14" s="139">
        <f t="shared" si="0"/>
        <v>0</v>
      </c>
      <c r="D14" s="144">
        <f>-1672167.33-18000-153604-43556-11000-35000-83318-11000</f>
        <v>-2027645.33</v>
      </c>
      <c r="E14" s="144">
        <f>-D14</f>
        <v>2027645.33</v>
      </c>
      <c r="F14" s="144">
        <f>+E14</f>
        <v>2027645.33</v>
      </c>
      <c r="G14" s="36"/>
      <c r="H14" s="36"/>
      <c r="I14" s="36"/>
      <c r="J14" s="36"/>
      <c r="K14" s="36"/>
      <c r="L14" s="36"/>
    </row>
    <row r="15" spans="1:12" s="37" customFormat="1" ht="0.75" customHeight="1">
      <c r="A15" s="142"/>
      <c r="B15" s="143"/>
      <c r="C15" s="139"/>
      <c r="D15" s="144"/>
      <c r="E15" s="144"/>
      <c r="F15" s="144"/>
      <c r="G15" s="36"/>
      <c r="H15" s="36"/>
      <c r="I15" s="36"/>
      <c r="J15" s="36"/>
      <c r="K15" s="36"/>
      <c r="L15" s="36"/>
    </row>
    <row r="16" spans="1:12" s="37" customFormat="1" ht="19.5" customHeight="1">
      <c r="A16" s="142"/>
      <c r="B16" s="210" t="s">
        <v>320</v>
      </c>
      <c r="C16" s="139"/>
      <c r="D16" s="144">
        <f>D12+D14</f>
        <v>-10645453.13</v>
      </c>
      <c r="E16" s="144">
        <f>E12+E14</f>
        <v>10645453.13</v>
      </c>
      <c r="F16" s="144">
        <f>F12+F14</f>
        <v>10645453.13</v>
      </c>
      <c r="G16" s="36"/>
      <c r="H16" s="36"/>
      <c r="I16" s="36"/>
      <c r="J16" s="36"/>
      <c r="K16" s="36"/>
      <c r="L16" s="36"/>
    </row>
    <row r="17" spans="1:12" s="37" customFormat="1" ht="36" customHeight="1" hidden="1">
      <c r="A17" s="53">
        <v>400000</v>
      </c>
      <c r="B17" s="59" t="s">
        <v>163</v>
      </c>
      <c r="C17" s="60"/>
      <c r="D17" s="61"/>
      <c r="E17" s="61"/>
      <c r="F17" s="62"/>
      <c r="G17" s="36"/>
      <c r="H17" s="36"/>
      <c r="I17" s="36"/>
      <c r="J17" s="36"/>
      <c r="K17" s="36"/>
      <c r="L17" s="36"/>
    </row>
    <row r="18" spans="1:12" s="39" customFormat="1" ht="20.25" customHeight="1" hidden="1">
      <c r="A18" s="54">
        <v>401000</v>
      </c>
      <c r="B18" s="55" t="s">
        <v>164</v>
      </c>
      <c r="C18" s="63"/>
      <c r="D18" s="64"/>
      <c r="E18" s="64"/>
      <c r="F18" s="62"/>
      <c r="G18" s="38"/>
      <c r="H18" s="38"/>
      <c r="I18" s="38"/>
      <c r="J18" s="38"/>
      <c r="K18" s="38"/>
      <c r="L18" s="38"/>
    </row>
    <row r="19" spans="1:12" s="39" customFormat="1" ht="20.25" customHeight="1" hidden="1">
      <c r="A19" s="56">
        <v>401100</v>
      </c>
      <c r="B19" s="57" t="s">
        <v>165</v>
      </c>
      <c r="C19" s="65"/>
      <c r="D19" s="66"/>
      <c r="E19" s="66"/>
      <c r="F19" s="62"/>
      <c r="G19" s="38"/>
      <c r="H19" s="38"/>
      <c r="I19" s="38"/>
      <c r="J19" s="38"/>
      <c r="K19" s="38"/>
      <c r="L19" s="38"/>
    </row>
    <row r="20" spans="1:12" s="39" customFormat="1" ht="20.25" customHeight="1" hidden="1">
      <c r="A20" s="56">
        <v>401200</v>
      </c>
      <c r="B20" s="57" t="s">
        <v>166</v>
      </c>
      <c r="C20" s="65"/>
      <c r="D20" s="66"/>
      <c r="E20" s="66"/>
      <c r="F20" s="62"/>
      <c r="G20" s="38"/>
      <c r="H20" s="38"/>
      <c r="I20" s="38"/>
      <c r="J20" s="38"/>
      <c r="K20" s="38"/>
      <c r="L20" s="38"/>
    </row>
    <row r="21" spans="1:12" s="39" customFormat="1" ht="20.25" customHeight="1" hidden="1">
      <c r="A21" s="54">
        <v>402000</v>
      </c>
      <c r="B21" s="55" t="s">
        <v>167</v>
      </c>
      <c r="C21" s="63"/>
      <c r="D21" s="64"/>
      <c r="E21" s="64"/>
      <c r="F21" s="62"/>
      <c r="G21" s="38"/>
      <c r="H21" s="38"/>
      <c r="I21" s="38"/>
      <c r="J21" s="38"/>
      <c r="K21" s="38"/>
      <c r="L21" s="38"/>
    </row>
    <row r="22" spans="1:12" s="39" customFormat="1" ht="20.25" customHeight="1" hidden="1">
      <c r="A22" s="56">
        <v>402100</v>
      </c>
      <c r="B22" s="57" t="s">
        <v>168</v>
      </c>
      <c r="C22" s="65"/>
      <c r="D22" s="66"/>
      <c r="E22" s="66"/>
      <c r="F22" s="62"/>
      <c r="G22" s="38"/>
      <c r="H22" s="38"/>
      <c r="I22" s="38"/>
      <c r="J22" s="38"/>
      <c r="K22" s="38"/>
      <c r="L22" s="38"/>
    </row>
    <row r="23" spans="1:12" s="39" customFormat="1" ht="20.25" customHeight="1" hidden="1">
      <c r="A23" s="56">
        <v>402200</v>
      </c>
      <c r="B23" s="57" t="s">
        <v>169</v>
      </c>
      <c r="C23" s="65"/>
      <c r="D23" s="66"/>
      <c r="E23" s="66"/>
      <c r="F23" s="62"/>
      <c r="G23" s="38"/>
      <c r="H23" s="38"/>
      <c r="I23" s="38"/>
      <c r="J23" s="38"/>
      <c r="K23" s="38"/>
      <c r="L23" s="38"/>
    </row>
    <row r="24" spans="1:12" s="39" customFormat="1" ht="33" customHeight="1">
      <c r="A24" s="56" t="s">
        <v>190</v>
      </c>
      <c r="B24" s="59" t="s">
        <v>321</v>
      </c>
      <c r="C24" s="65"/>
      <c r="D24" s="66"/>
      <c r="E24" s="66"/>
      <c r="F24" s="62"/>
      <c r="G24" s="38"/>
      <c r="H24" s="38"/>
      <c r="I24" s="38"/>
      <c r="J24" s="38"/>
      <c r="K24" s="38"/>
      <c r="L24" s="38"/>
    </row>
    <row r="25" spans="1:12" s="37" customFormat="1" ht="36.75" customHeight="1">
      <c r="A25" s="53">
        <v>600000</v>
      </c>
      <c r="B25" s="59" t="s">
        <v>170</v>
      </c>
      <c r="C25" s="60">
        <f>C26+C29</f>
        <v>0</v>
      </c>
      <c r="D25" s="60">
        <f>D26+D29</f>
        <v>0</v>
      </c>
      <c r="E25" s="60">
        <v>0</v>
      </c>
      <c r="F25" s="60">
        <f>F26+F29</f>
        <v>0</v>
      </c>
      <c r="G25" s="36"/>
      <c r="H25" s="36"/>
      <c r="I25" s="36"/>
      <c r="J25" s="36"/>
      <c r="K25" s="36"/>
      <c r="L25" s="36"/>
    </row>
    <row r="26" spans="1:12" s="39" customFormat="1" ht="45">
      <c r="A26" s="211">
        <v>601000</v>
      </c>
      <c r="B26" s="55" t="s">
        <v>171</v>
      </c>
      <c r="C26" s="63">
        <f>+C27</f>
        <v>0</v>
      </c>
      <c r="D26" s="63">
        <f>+D27</f>
        <v>0</v>
      </c>
      <c r="E26" s="63">
        <f>+E27</f>
        <v>0</v>
      </c>
      <c r="F26" s="63">
        <f>+F27</f>
        <v>0</v>
      </c>
      <c r="G26" s="38"/>
      <c r="H26" s="38"/>
      <c r="I26" s="38"/>
      <c r="J26" s="38"/>
      <c r="K26" s="38"/>
      <c r="L26" s="38"/>
    </row>
    <row r="27" spans="1:12" s="39" customFormat="1" ht="34.5" customHeight="1">
      <c r="A27" s="212">
        <v>601200</v>
      </c>
      <c r="B27" s="57" t="s">
        <v>172</v>
      </c>
      <c r="C27" s="65"/>
      <c r="D27" s="66"/>
      <c r="E27" s="66"/>
      <c r="F27" s="62"/>
      <c r="G27" s="38"/>
      <c r="H27" s="38"/>
      <c r="I27" s="38"/>
      <c r="J27" s="38"/>
      <c r="K27" s="38"/>
      <c r="L27" s="38"/>
    </row>
    <row r="28" spans="1:12" s="41" customFormat="1" ht="18.75" customHeight="1">
      <c r="A28" s="212">
        <v>601220</v>
      </c>
      <c r="B28" s="57" t="s">
        <v>173</v>
      </c>
      <c r="C28" s="65"/>
      <c r="D28" s="66"/>
      <c r="E28" s="66"/>
      <c r="F28" s="62"/>
      <c r="G28" s="40"/>
      <c r="H28" s="40"/>
      <c r="I28" s="40"/>
      <c r="J28" s="40"/>
      <c r="K28" s="40"/>
      <c r="L28" s="40"/>
    </row>
    <row r="29" spans="1:12" s="39" customFormat="1" ht="18.75" customHeight="1">
      <c r="A29" s="211">
        <v>602000</v>
      </c>
      <c r="B29" s="57" t="s">
        <v>174</v>
      </c>
      <c r="C29" s="63"/>
      <c r="D29" s="64"/>
      <c r="E29" s="64"/>
      <c r="F29" s="62"/>
      <c r="G29" s="38"/>
      <c r="H29" s="38"/>
      <c r="I29" s="38"/>
      <c r="J29" s="38"/>
      <c r="K29" s="38"/>
      <c r="L29" s="38"/>
    </row>
    <row r="30" spans="1:12" s="39" customFormat="1" ht="18.75" customHeight="1">
      <c r="A30" s="56">
        <v>602100</v>
      </c>
      <c r="B30" s="57" t="s">
        <v>175</v>
      </c>
      <c r="C30" s="65"/>
      <c r="D30" s="66"/>
      <c r="E30" s="66"/>
      <c r="F30" s="62"/>
      <c r="G30" s="38"/>
      <c r="H30" s="38"/>
      <c r="I30" s="38"/>
      <c r="J30" s="38"/>
      <c r="K30" s="38"/>
      <c r="L30" s="38"/>
    </row>
    <row r="31" spans="1:6" ht="21.75" customHeight="1">
      <c r="A31" s="233" t="s">
        <v>320</v>
      </c>
      <c r="B31" s="234"/>
      <c r="C31" s="67">
        <f>C9+C17+C25</f>
        <v>5354841.13</v>
      </c>
      <c r="D31" s="67">
        <f>D9+D17+D25</f>
        <v>-5696756.000000001</v>
      </c>
      <c r="E31" s="67">
        <f>E9+E17+E25</f>
        <v>11051597.13</v>
      </c>
      <c r="F31" s="67">
        <f>F9+F17+F25</f>
        <v>11034948.13</v>
      </c>
    </row>
    <row r="32" spans="1:12" ht="12.75">
      <c r="A32" s="4"/>
      <c r="B32" s="4"/>
      <c r="C32" s="4"/>
      <c r="D32" s="4"/>
      <c r="E32" s="4"/>
      <c r="F32" s="4"/>
      <c r="G32" s="4"/>
      <c r="H32" s="4"/>
      <c r="I32" s="4"/>
      <c r="J32" s="4"/>
      <c r="K32" s="4"/>
      <c r="L32" s="4"/>
    </row>
    <row r="33" spans="2:4" ht="15.75" customHeight="1">
      <c r="B33" s="158" t="s">
        <v>251</v>
      </c>
      <c r="D33" s="158" t="s">
        <v>252</v>
      </c>
    </row>
  </sheetData>
  <sheetProtection/>
  <mergeCells count="9">
    <mergeCell ref="A31:B31"/>
    <mergeCell ref="A5:E5"/>
    <mergeCell ref="C3:F3"/>
    <mergeCell ref="C6:C7"/>
    <mergeCell ref="D6:D7"/>
    <mergeCell ref="E6:F6"/>
    <mergeCell ref="B6:B7"/>
    <mergeCell ref="A6:A7"/>
    <mergeCell ref="A4:F4"/>
  </mergeCells>
  <printOptions horizontalCentered="1"/>
  <pageMargins left="0.31" right="0.5" top="0.5905511811023623" bottom="0.7874015748031497" header="0.11811023622047245" footer="0.5118110236220472"/>
  <pageSetup fitToHeight="8" horizontalDpi="300" verticalDpi="300" orientation="portrait" paperSize="9" scale="7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T86"/>
  <sheetViews>
    <sheetView showGridLines="0" showZeros="0" view="pageBreakPreview" zoomScaleNormal="120" zoomScaleSheetLayoutView="100" zoomScalePageLayoutView="0" workbookViewId="0" topLeftCell="A61">
      <selection activeCell="P23" sqref="P23"/>
    </sheetView>
  </sheetViews>
  <sheetFormatPr defaultColWidth="9.16015625" defaultRowHeight="12.75"/>
  <cols>
    <col min="1" max="1" width="12.33203125" style="78" customWidth="1"/>
    <col min="2" max="3" width="11.66015625" style="78" customWidth="1"/>
    <col min="4" max="4" width="42" style="6" customWidth="1"/>
    <col min="5" max="5" width="17.16015625" style="6" customWidth="1"/>
    <col min="6" max="6" width="16.83203125" style="6" customWidth="1"/>
    <col min="7" max="7" width="15.16015625" style="6" customWidth="1"/>
    <col min="8" max="8" width="13.66015625" style="6" customWidth="1"/>
    <col min="9" max="9" width="12.66015625" style="6" customWidth="1"/>
    <col min="10" max="11" width="14.83203125" style="6" customWidth="1"/>
    <col min="12" max="12" width="13.83203125" style="6" customWidth="1"/>
    <col min="13" max="14" width="12.66015625" style="6" customWidth="1"/>
    <col min="15" max="15" width="15.33203125" style="6" customWidth="1"/>
    <col min="16" max="16" width="16.83203125" style="6" customWidth="1"/>
    <col min="17" max="17" width="9.16015625" style="5" customWidth="1"/>
    <col min="18" max="18" width="10.16015625" style="5" bestFit="1" customWidth="1"/>
    <col min="19" max="16384" width="9.16015625" style="5" customWidth="1"/>
  </cols>
  <sheetData>
    <row r="1" spans="1:16" s="44" customFormat="1" ht="18.75" customHeight="1">
      <c r="A1" s="222"/>
      <c r="B1" s="222"/>
      <c r="C1" s="222"/>
      <c r="D1" s="222"/>
      <c r="E1" s="222"/>
      <c r="F1" s="222"/>
      <c r="G1" s="222"/>
      <c r="H1" s="222"/>
      <c r="I1" s="222"/>
      <c r="J1" s="222"/>
      <c r="K1" s="222"/>
      <c r="L1" s="222"/>
      <c r="M1" s="222"/>
      <c r="N1" s="222"/>
      <c r="O1" s="222"/>
      <c r="P1" s="222"/>
    </row>
    <row r="2" spans="4:17" ht="66" customHeight="1">
      <c r="D2" s="2"/>
      <c r="E2" s="1"/>
      <c r="F2" s="1"/>
      <c r="G2" s="1"/>
      <c r="H2" s="1"/>
      <c r="I2" s="1"/>
      <c r="J2" s="1"/>
      <c r="K2" s="1"/>
      <c r="L2" s="1"/>
      <c r="M2" s="1"/>
      <c r="N2" s="236" t="s">
        <v>415</v>
      </c>
      <c r="O2" s="236"/>
      <c r="P2" s="236"/>
      <c r="Q2" s="236"/>
    </row>
    <row r="3" spans="1:16" ht="45" customHeight="1">
      <c r="A3" s="240" t="s">
        <v>269</v>
      </c>
      <c r="B3" s="241"/>
      <c r="C3" s="241"/>
      <c r="D3" s="241"/>
      <c r="E3" s="241"/>
      <c r="F3" s="241"/>
      <c r="G3" s="241"/>
      <c r="H3" s="241"/>
      <c r="I3" s="241"/>
      <c r="J3" s="241"/>
      <c r="K3" s="241"/>
      <c r="L3" s="241"/>
      <c r="M3" s="241"/>
      <c r="N3" s="241"/>
      <c r="O3" s="241"/>
      <c r="P3" s="241"/>
    </row>
    <row r="4" spans="1:16" ht="18.75">
      <c r="A4" s="79"/>
      <c r="B4" s="80"/>
      <c r="C4" s="80"/>
      <c r="D4" s="7"/>
      <c r="E4" s="7"/>
      <c r="F4" s="7"/>
      <c r="G4" s="10"/>
      <c r="H4" s="7"/>
      <c r="I4" s="7"/>
      <c r="J4" s="8"/>
      <c r="K4" s="8"/>
      <c r="L4" s="9"/>
      <c r="M4" s="9"/>
      <c r="N4" s="9"/>
      <c r="O4" s="9"/>
      <c r="P4" s="68" t="s">
        <v>131</v>
      </c>
    </row>
    <row r="5" spans="1:16" s="98" customFormat="1" ht="21.75" customHeight="1">
      <c r="A5" s="243" t="s">
        <v>195</v>
      </c>
      <c r="B5" s="243" t="s">
        <v>11</v>
      </c>
      <c r="C5" s="228" t="s">
        <v>322</v>
      </c>
      <c r="D5" s="220" t="s">
        <v>323</v>
      </c>
      <c r="E5" s="239" t="s">
        <v>180</v>
      </c>
      <c r="F5" s="239"/>
      <c r="G5" s="239"/>
      <c r="H5" s="239"/>
      <c r="I5" s="239"/>
      <c r="J5" s="239" t="s">
        <v>181</v>
      </c>
      <c r="K5" s="239"/>
      <c r="L5" s="239"/>
      <c r="M5" s="239"/>
      <c r="N5" s="239"/>
      <c r="O5" s="239"/>
      <c r="P5" s="239" t="s">
        <v>182</v>
      </c>
    </row>
    <row r="6" spans="1:16" s="98" customFormat="1" ht="16.5" customHeight="1">
      <c r="A6" s="244"/>
      <c r="B6" s="244"/>
      <c r="C6" s="228"/>
      <c r="D6" s="242"/>
      <c r="E6" s="242" t="s">
        <v>8</v>
      </c>
      <c r="F6" s="225" t="s">
        <v>183</v>
      </c>
      <c r="G6" s="242" t="s">
        <v>184</v>
      </c>
      <c r="H6" s="242"/>
      <c r="I6" s="225" t="s">
        <v>185</v>
      </c>
      <c r="J6" s="242" t="s">
        <v>8</v>
      </c>
      <c r="K6" s="242" t="s">
        <v>9</v>
      </c>
      <c r="L6" s="246" t="s">
        <v>183</v>
      </c>
      <c r="M6" s="223" t="s">
        <v>184</v>
      </c>
      <c r="N6" s="224"/>
      <c r="O6" s="246" t="s">
        <v>185</v>
      </c>
      <c r="P6" s="239"/>
    </row>
    <row r="7" spans="1:16" s="98" customFormat="1" ht="26.25" customHeight="1">
      <c r="A7" s="244"/>
      <c r="B7" s="244"/>
      <c r="C7" s="228"/>
      <c r="D7" s="242"/>
      <c r="E7" s="242"/>
      <c r="F7" s="225"/>
      <c r="G7" s="242" t="s">
        <v>186</v>
      </c>
      <c r="H7" s="242" t="s">
        <v>187</v>
      </c>
      <c r="I7" s="225"/>
      <c r="J7" s="242"/>
      <c r="K7" s="242"/>
      <c r="L7" s="247"/>
      <c r="M7" s="226" t="s">
        <v>186</v>
      </c>
      <c r="N7" s="226" t="s">
        <v>187</v>
      </c>
      <c r="O7" s="247"/>
      <c r="P7" s="239"/>
    </row>
    <row r="8" spans="1:16" s="98" customFormat="1" ht="58.5" customHeight="1">
      <c r="A8" s="245"/>
      <c r="B8" s="245"/>
      <c r="C8" s="228"/>
      <c r="D8" s="242"/>
      <c r="E8" s="242"/>
      <c r="F8" s="225"/>
      <c r="G8" s="242"/>
      <c r="H8" s="242"/>
      <c r="I8" s="225"/>
      <c r="J8" s="242"/>
      <c r="K8" s="242"/>
      <c r="L8" s="221"/>
      <c r="M8" s="227"/>
      <c r="N8" s="227"/>
      <c r="O8" s="221"/>
      <c r="P8" s="239"/>
    </row>
    <row r="9" spans="1:16" s="98" customFormat="1" ht="9" customHeight="1">
      <c r="A9" s="130"/>
      <c r="B9" s="130"/>
      <c r="C9" s="127"/>
      <c r="D9" s="128"/>
      <c r="E9" s="128"/>
      <c r="F9" s="126"/>
      <c r="G9" s="128"/>
      <c r="H9" s="128"/>
      <c r="I9" s="126"/>
      <c r="J9" s="128"/>
      <c r="K9" s="128"/>
      <c r="L9" s="126"/>
      <c r="M9" s="128"/>
      <c r="N9" s="128"/>
      <c r="O9" s="126"/>
      <c r="P9" s="129"/>
    </row>
    <row r="10" spans="1:16" s="102" customFormat="1" ht="21" customHeight="1">
      <c r="A10" s="99" t="s">
        <v>191</v>
      </c>
      <c r="B10" s="99"/>
      <c r="C10" s="99"/>
      <c r="D10" s="100" t="s">
        <v>201</v>
      </c>
      <c r="E10" s="101">
        <f>E11</f>
        <v>45486565</v>
      </c>
      <c r="F10" s="101">
        <f aca="true" t="shared" si="0" ref="F10:P10">F11</f>
        <v>45319565</v>
      </c>
      <c r="G10" s="101">
        <f t="shared" si="0"/>
        <v>15163261</v>
      </c>
      <c r="H10" s="101">
        <f t="shared" si="0"/>
        <v>1149939</v>
      </c>
      <c r="I10" s="101">
        <f t="shared" si="0"/>
        <v>0</v>
      </c>
      <c r="J10" s="101">
        <f t="shared" si="0"/>
        <v>9190134.13</v>
      </c>
      <c r="K10" s="101">
        <f t="shared" si="0"/>
        <v>8926185.13</v>
      </c>
      <c r="L10" s="101">
        <f t="shared" si="0"/>
        <v>263949</v>
      </c>
      <c r="M10" s="101">
        <f t="shared" si="0"/>
        <v>0</v>
      </c>
      <c r="N10" s="101">
        <f t="shared" si="0"/>
        <v>20950</v>
      </c>
      <c r="O10" s="101">
        <f t="shared" si="0"/>
        <v>8926185.13</v>
      </c>
      <c r="P10" s="101">
        <f t="shared" si="0"/>
        <v>54621299.129999995</v>
      </c>
    </row>
    <row r="11" spans="1:16" s="98" customFormat="1" ht="14.25">
      <c r="A11" s="99" t="s">
        <v>188</v>
      </c>
      <c r="B11" s="99"/>
      <c r="C11" s="99"/>
      <c r="D11" s="100" t="s">
        <v>201</v>
      </c>
      <c r="E11" s="103">
        <f aca="true" t="shared" si="1" ref="E11:P11">SUM(E12:E42)</f>
        <v>45486565</v>
      </c>
      <c r="F11" s="103">
        <f t="shared" si="1"/>
        <v>45319565</v>
      </c>
      <c r="G11" s="103">
        <f t="shared" si="1"/>
        <v>15163261</v>
      </c>
      <c r="H11" s="103">
        <f t="shared" si="1"/>
        <v>1149939</v>
      </c>
      <c r="I11" s="103">
        <f t="shared" si="1"/>
        <v>0</v>
      </c>
      <c r="J11" s="103">
        <f t="shared" si="1"/>
        <v>9190134.13</v>
      </c>
      <c r="K11" s="103">
        <f>SUM(K12:K42)</f>
        <v>8926185.13</v>
      </c>
      <c r="L11" s="103">
        <f t="shared" si="1"/>
        <v>263949</v>
      </c>
      <c r="M11" s="103">
        <f t="shared" si="1"/>
        <v>0</v>
      </c>
      <c r="N11" s="103">
        <f t="shared" si="1"/>
        <v>20950</v>
      </c>
      <c r="O11" s="103">
        <f t="shared" si="1"/>
        <v>8926185.13</v>
      </c>
      <c r="P11" s="103">
        <f t="shared" si="1"/>
        <v>54621299.129999995</v>
      </c>
    </row>
    <row r="12" spans="1:16" s="98" customFormat="1" ht="90">
      <c r="A12" s="99" t="s">
        <v>75</v>
      </c>
      <c r="B12" s="104" t="s">
        <v>76</v>
      </c>
      <c r="C12" s="104" t="s">
        <v>134</v>
      </c>
      <c r="D12" s="105" t="s">
        <v>77</v>
      </c>
      <c r="E12" s="107">
        <f aca="true" t="shared" si="2" ref="E12:E27">F12</f>
        <v>13149081</v>
      </c>
      <c r="F12" s="103">
        <f>12940387+44184+24730+220000-50100-30120</f>
        <v>13149081</v>
      </c>
      <c r="G12" s="103">
        <f>9551761+180330</f>
        <v>9732091</v>
      </c>
      <c r="H12" s="103">
        <f>296240+24730</f>
        <v>320970</v>
      </c>
      <c r="I12" s="103"/>
      <c r="J12" s="103"/>
      <c r="K12" s="103"/>
      <c r="L12" s="103"/>
      <c r="M12" s="103"/>
      <c r="N12" s="103"/>
      <c r="O12" s="103"/>
      <c r="P12" s="103">
        <f aca="true" t="shared" si="3" ref="P12:P23">E12+J12</f>
        <v>13149081</v>
      </c>
    </row>
    <row r="13" spans="1:16" s="98" customFormat="1" ht="30">
      <c r="A13" s="99" t="s">
        <v>217</v>
      </c>
      <c r="B13" s="104" t="s">
        <v>140</v>
      </c>
      <c r="C13" s="104" t="s">
        <v>207</v>
      </c>
      <c r="D13" s="105" t="s">
        <v>224</v>
      </c>
      <c r="E13" s="107">
        <f>F13</f>
        <v>162840</v>
      </c>
      <c r="F13" s="103">
        <v>162840</v>
      </c>
      <c r="G13" s="103"/>
      <c r="H13" s="103"/>
      <c r="I13" s="103"/>
      <c r="J13" s="103"/>
      <c r="K13" s="103"/>
      <c r="L13" s="103"/>
      <c r="M13" s="103"/>
      <c r="N13" s="103"/>
      <c r="O13" s="103"/>
      <c r="P13" s="103">
        <f t="shared" si="3"/>
        <v>162840</v>
      </c>
    </row>
    <row r="14" spans="1:16" s="98" customFormat="1" ht="60">
      <c r="A14" s="99" t="s">
        <v>81</v>
      </c>
      <c r="B14" s="104" t="s">
        <v>82</v>
      </c>
      <c r="C14" s="104" t="s">
        <v>234</v>
      </c>
      <c r="D14" s="105" t="s">
        <v>83</v>
      </c>
      <c r="E14" s="107">
        <f t="shared" si="2"/>
        <v>1177930</v>
      </c>
      <c r="F14" s="155">
        <f>1168930+40795-31795</f>
        <v>1177930</v>
      </c>
      <c r="G14" s="103">
        <v>344262</v>
      </c>
      <c r="H14" s="103">
        <v>392730</v>
      </c>
      <c r="I14" s="103"/>
      <c r="J14" s="103"/>
      <c r="K14" s="103"/>
      <c r="L14" s="103"/>
      <c r="M14" s="103"/>
      <c r="N14" s="103"/>
      <c r="O14" s="103"/>
      <c r="P14" s="103">
        <f t="shared" si="3"/>
        <v>1177930</v>
      </c>
    </row>
    <row r="15" spans="1:16" s="98" customFormat="1" ht="45">
      <c r="A15" s="99" t="s">
        <v>226</v>
      </c>
      <c r="B15" s="104" t="s">
        <v>227</v>
      </c>
      <c r="C15" s="104" t="s">
        <v>84</v>
      </c>
      <c r="D15" s="105" t="s">
        <v>235</v>
      </c>
      <c r="E15" s="107">
        <f t="shared" si="2"/>
        <v>153400</v>
      </c>
      <c r="F15" s="155">
        <v>153400</v>
      </c>
      <c r="G15" s="103"/>
      <c r="H15" s="103"/>
      <c r="I15" s="103"/>
      <c r="J15" s="103"/>
      <c r="K15" s="103"/>
      <c r="L15" s="103"/>
      <c r="M15" s="103"/>
      <c r="N15" s="103"/>
      <c r="O15" s="103"/>
      <c r="P15" s="103">
        <f t="shared" si="3"/>
        <v>153400</v>
      </c>
    </row>
    <row r="16" spans="1:16" s="98" customFormat="1" ht="30">
      <c r="A16" s="99" t="s">
        <v>228</v>
      </c>
      <c r="B16" s="104" t="s">
        <v>229</v>
      </c>
      <c r="C16" s="104" t="s">
        <v>84</v>
      </c>
      <c r="D16" s="105" t="s">
        <v>230</v>
      </c>
      <c r="E16" s="107">
        <f t="shared" si="2"/>
        <v>113522</v>
      </c>
      <c r="F16" s="103">
        <f>50000+12677+31795+19050</f>
        <v>113522</v>
      </c>
      <c r="G16" s="103"/>
      <c r="H16" s="103"/>
      <c r="I16" s="103"/>
      <c r="J16" s="103"/>
      <c r="K16" s="103"/>
      <c r="L16" s="103"/>
      <c r="M16" s="103"/>
      <c r="N16" s="103"/>
      <c r="O16" s="103"/>
      <c r="P16" s="103">
        <f t="shared" si="3"/>
        <v>113522</v>
      </c>
    </row>
    <row r="17" spans="1:16" s="98" customFormat="1" ht="75">
      <c r="A17" s="99" t="s">
        <v>137</v>
      </c>
      <c r="B17" s="104" t="s">
        <v>149</v>
      </c>
      <c r="C17" s="104" t="s">
        <v>135</v>
      </c>
      <c r="D17" s="105" t="s">
        <v>203</v>
      </c>
      <c r="E17" s="107">
        <f t="shared" si="2"/>
        <v>4538469</v>
      </c>
      <c r="F17" s="103">
        <v>4538469</v>
      </c>
      <c r="G17" s="103">
        <v>3646785</v>
      </c>
      <c r="H17" s="103">
        <v>34718</v>
      </c>
      <c r="I17" s="103"/>
      <c r="J17" s="103">
        <v>170000</v>
      </c>
      <c r="K17" s="103"/>
      <c r="L17" s="103">
        <v>170000</v>
      </c>
      <c r="M17" s="103"/>
      <c r="N17" s="103">
        <v>20950</v>
      </c>
      <c r="O17" s="103"/>
      <c r="P17" s="103">
        <f t="shared" si="3"/>
        <v>4708469</v>
      </c>
    </row>
    <row r="18" spans="1:16" s="98" customFormat="1" ht="60">
      <c r="A18" s="99" t="s">
        <v>339</v>
      </c>
      <c r="B18" s="104" t="s">
        <v>340</v>
      </c>
      <c r="C18" s="104" t="s">
        <v>341</v>
      </c>
      <c r="D18" s="105" t="s">
        <v>342</v>
      </c>
      <c r="E18" s="107">
        <f>15000+27000+5000</f>
        <v>47000</v>
      </c>
      <c r="F18" s="103"/>
      <c r="G18" s="103"/>
      <c r="H18" s="103"/>
      <c r="I18" s="103"/>
      <c r="J18" s="103"/>
      <c r="K18" s="103"/>
      <c r="L18" s="103"/>
      <c r="M18" s="103"/>
      <c r="N18" s="103"/>
      <c r="O18" s="103"/>
      <c r="P18" s="103">
        <f t="shared" si="3"/>
        <v>47000</v>
      </c>
    </row>
    <row r="19" spans="1:16" s="98" customFormat="1" ht="30">
      <c r="A19" s="99" t="s">
        <v>218</v>
      </c>
      <c r="B19" s="104" t="s">
        <v>219</v>
      </c>
      <c r="C19" s="104" t="s">
        <v>202</v>
      </c>
      <c r="D19" s="105" t="s">
        <v>220</v>
      </c>
      <c r="E19" s="107">
        <f t="shared" si="2"/>
        <v>516000</v>
      </c>
      <c r="F19" s="103">
        <v>516000</v>
      </c>
      <c r="G19" s="103"/>
      <c r="H19" s="103"/>
      <c r="I19" s="103"/>
      <c r="J19" s="103"/>
      <c r="K19" s="103"/>
      <c r="L19" s="103"/>
      <c r="M19" s="103"/>
      <c r="N19" s="103"/>
      <c r="O19" s="103"/>
      <c r="P19" s="103">
        <f t="shared" si="3"/>
        <v>516000</v>
      </c>
    </row>
    <row r="20" spans="1:16" s="98" customFormat="1" ht="45">
      <c r="A20" s="99" t="s">
        <v>85</v>
      </c>
      <c r="B20" s="104" t="s">
        <v>86</v>
      </c>
      <c r="C20" s="104" t="s">
        <v>204</v>
      </c>
      <c r="D20" s="105" t="s">
        <v>87</v>
      </c>
      <c r="E20" s="107">
        <f t="shared" si="2"/>
        <v>585116</v>
      </c>
      <c r="F20" s="103">
        <v>585116</v>
      </c>
      <c r="G20" s="103">
        <v>449275</v>
      </c>
      <c r="H20" s="103"/>
      <c r="I20" s="103"/>
      <c r="J20" s="103"/>
      <c r="K20" s="103"/>
      <c r="L20" s="103"/>
      <c r="M20" s="103"/>
      <c r="N20" s="103"/>
      <c r="O20" s="103"/>
      <c r="P20" s="103">
        <f t="shared" si="3"/>
        <v>585116</v>
      </c>
    </row>
    <row r="21" spans="1:16" s="98" customFormat="1" ht="45">
      <c r="A21" s="99" t="s">
        <v>357</v>
      </c>
      <c r="B21" s="104" t="s">
        <v>358</v>
      </c>
      <c r="C21" s="104" t="s">
        <v>205</v>
      </c>
      <c r="D21" s="105" t="s">
        <v>359</v>
      </c>
      <c r="E21" s="107">
        <f t="shared" si="2"/>
        <v>3606</v>
      </c>
      <c r="F21" s="103">
        <v>3606</v>
      </c>
      <c r="G21" s="103"/>
      <c r="H21" s="103"/>
      <c r="I21" s="103"/>
      <c r="J21" s="103">
        <f>250000+58500+20244-100000+23000-5000</f>
        <v>246744</v>
      </c>
      <c r="K21" s="103">
        <f>250000+58500+20244-100000+23000-5000</f>
        <v>246744</v>
      </c>
      <c r="L21" s="103"/>
      <c r="M21" s="103"/>
      <c r="N21" s="103"/>
      <c r="O21" s="103">
        <f>250000+58500+20244-100000+23000-5000</f>
        <v>246744</v>
      </c>
      <c r="P21" s="103">
        <f t="shared" si="3"/>
        <v>250350</v>
      </c>
    </row>
    <row r="22" spans="1:16" s="98" customFormat="1" ht="75">
      <c r="A22" s="99" t="s">
        <v>361</v>
      </c>
      <c r="B22" s="104" t="s">
        <v>362</v>
      </c>
      <c r="C22" s="104" t="s">
        <v>205</v>
      </c>
      <c r="D22" s="105" t="s">
        <v>363</v>
      </c>
      <c r="E22" s="107">
        <f>10000+13000</f>
        <v>23000</v>
      </c>
      <c r="F22" s="103">
        <f>10000+13000</f>
        <v>23000</v>
      </c>
      <c r="G22" s="103"/>
      <c r="H22" s="103"/>
      <c r="I22" s="103"/>
      <c r="J22" s="103"/>
      <c r="K22" s="103"/>
      <c r="L22" s="103"/>
      <c r="M22" s="103"/>
      <c r="N22" s="103"/>
      <c r="O22" s="103"/>
      <c r="P22" s="103">
        <v>23000</v>
      </c>
    </row>
    <row r="23" spans="1:16" s="98" customFormat="1" ht="30">
      <c r="A23" s="99" t="s">
        <v>88</v>
      </c>
      <c r="B23" s="104" t="s">
        <v>89</v>
      </c>
      <c r="C23" s="104" t="s">
        <v>205</v>
      </c>
      <c r="D23" s="105" t="s">
        <v>90</v>
      </c>
      <c r="E23" s="107">
        <f t="shared" si="2"/>
        <v>4124559</v>
      </c>
      <c r="F23" s="103">
        <f>3857259+142436-10686+1000+160000-25450</f>
        <v>4124559</v>
      </c>
      <c r="G23" s="103">
        <v>187785</v>
      </c>
      <c r="H23" s="103">
        <v>358126</v>
      </c>
      <c r="I23" s="103"/>
      <c r="J23" s="103">
        <f>150000+10686+135000+149990+5000</f>
        <v>450676</v>
      </c>
      <c r="K23" s="103">
        <f>150000+10686+135000+149990+5000</f>
        <v>450676</v>
      </c>
      <c r="L23" s="103"/>
      <c r="M23" s="103"/>
      <c r="N23" s="103"/>
      <c r="O23" s="103">
        <f>150000+10686+135000+149990+5000</f>
        <v>450676</v>
      </c>
      <c r="P23" s="103">
        <f t="shared" si="3"/>
        <v>4575235</v>
      </c>
    </row>
    <row r="24" spans="1:20" s="98" customFormat="1" ht="43.5" customHeight="1">
      <c r="A24" s="99" t="s">
        <v>270</v>
      </c>
      <c r="B24" s="104" t="s">
        <v>271</v>
      </c>
      <c r="C24" s="104" t="s">
        <v>272</v>
      </c>
      <c r="D24" s="105" t="s">
        <v>273</v>
      </c>
      <c r="E24" s="107">
        <v>34000</v>
      </c>
      <c r="F24" s="103">
        <v>34000</v>
      </c>
      <c r="G24" s="103"/>
      <c r="H24" s="103"/>
      <c r="I24" s="103"/>
      <c r="J24" s="103"/>
      <c r="K24" s="103"/>
      <c r="L24" s="103"/>
      <c r="M24" s="103"/>
      <c r="N24" s="103"/>
      <c r="O24" s="103"/>
      <c r="P24" s="103">
        <v>34000</v>
      </c>
      <c r="T24" s="164"/>
    </row>
    <row r="25" spans="1:20" s="98" customFormat="1" ht="43.5" customHeight="1">
      <c r="A25" s="99" t="s">
        <v>346</v>
      </c>
      <c r="B25" s="104" t="s">
        <v>347</v>
      </c>
      <c r="C25" s="104" t="s">
        <v>272</v>
      </c>
      <c r="D25" s="105" t="s">
        <v>348</v>
      </c>
      <c r="E25" s="107">
        <f>30000+29300</f>
        <v>59300</v>
      </c>
      <c r="F25" s="103">
        <f>30000+29300</f>
        <v>59300</v>
      </c>
      <c r="G25" s="103"/>
      <c r="H25" s="103"/>
      <c r="I25" s="103"/>
      <c r="J25" s="103"/>
      <c r="K25" s="103"/>
      <c r="L25" s="103"/>
      <c r="M25" s="103"/>
      <c r="N25" s="103"/>
      <c r="O25" s="103"/>
      <c r="P25" s="103">
        <v>30000</v>
      </c>
      <c r="T25" s="164"/>
    </row>
    <row r="26" spans="1:20" s="98" customFormat="1" ht="43.5" customHeight="1">
      <c r="A26" s="99" t="s">
        <v>407</v>
      </c>
      <c r="B26" s="104" t="s">
        <v>408</v>
      </c>
      <c r="C26" s="104"/>
      <c r="D26" s="105" t="s">
        <v>409</v>
      </c>
      <c r="E26" s="107"/>
      <c r="F26" s="103"/>
      <c r="G26" s="103"/>
      <c r="H26" s="103"/>
      <c r="I26" s="103"/>
      <c r="J26" s="103">
        <f>148100+25450</f>
        <v>173550</v>
      </c>
      <c r="K26" s="103">
        <f>148100+25450</f>
        <v>173550</v>
      </c>
      <c r="L26" s="103"/>
      <c r="M26" s="103"/>
      <c r="N26" s="103"/>
      <c r="O26" s="103">
        <f>148100+25450</f>
        <v>173550</v>
      </c>
      <c r="P26" s="103">
        <f>148100+25450</f>
        <v>173550</v>
      </c>
      <c r="T26" s="164"/>
    </row>
    <row r="27" spans="1:16" s="98" customFormat="1" ht="45">
      <c r="A27" s="99" t="s">
        <v>96</v>
      </c>
      <c r="B27" s="104" t="s">
        <v>97</v>
      </c>
      <c r="C27" s="104" t="s">
        <v>206</v>
      </c>
      <c r="D27" s="105" t="s">
        <v>237</v>
      </c>
      <c r="E27" s="107">
        <f t="shared" si="2"/>
        <v>0</v>
      </c>
      <c r="F27" s="103"/>
      <c r="G27" s="103"/>
      <c r="H27" s="103"/>
      <c r="I27" s="103"/>
      <c r="J27" s="103">
        <v>150000</v>
      </c>
      <c r="K27" s="103">
        <v>150000</v>
      </c>
      <c r="L27" s="103"/>
      <c r="M27" s="103"/>
      <c r="N27" s="103"/>
      <c r="O27" s="103">
        <v>150000</v>
      </c>
      <c r="P27" s="103">
        <f aca="true" t="shared" si="4" ref="P27:P42">E27+J27</f>
        <v>150000</v>
      </c>
    </row>
    <row r="28" spans="1:16" s="98" customFormat="1" ht="75">
      <c r="A28" s="99" t="s">
        <v>369</v>
      </c>
      <c r="B28" s="104" t="s">
        <v>370</v>
      </c>
      <c r="C28" s="104" t="s">
        <v>245</v>
      </c>
      <c r="D28" s="105" t="s">
        <v>371</v>
      </c>
      <c r="E28" s="107"/>
      <c r="F28" s="103"/>
      <c r="G28" s="103"/>
      <c r="H28" s="103"/>
      <c r="I28" s="103"/>
      <c r="J28" s="103">
        <f>47775+72592.33</f>
        <v>120367.33</v>
      </c>
      <c r="K28" s="103">
        <f>47775+72592.33</f>
        <v>120367.33</v>
      </c>
      <c r="L28" s="103"/>
      <c r="M28" s="103"/>
      <c r="N28" s="103"/>
      <c r="O28" s="103">
        <f>47775+72592.33</f>
        <v>120367.33</v>
      </c>
      <c r="P28" s="103">
        <f t="shared" si="4"/>
        <v>120367.33</v>
      </c>
    </row>
    <row r="29" spans="1:16" s="98" customFormat="1" ht="90">
      <c r="A29" s="99" t="s">
        <v>343</v>
      </c>
      <c r="B29" s="104" t="s">
        <v>344</v>
      </c>
      <c r="C29" s="104" t="s">
        <v>245</v>
      </c>
      <c r="D29" s="105" t="s">
        <v>345</v>
      </c>
      <c r="E29" s="107"/>
      <c r="F29" s="103"/>
      <c r="G29" s="103"/>
      <c r="H29" s="103"/>
      <c r="I29" s="103"/>
      <c r="J29" s="103">
        <f>318847.8+11000</f>
        <v>329847.8</v>
      </c>
      <c r="K29" s="103">
        <f>318847.8+11000</f>
        <v>329847.8</v>
      </c>
      <c r="L29" s="103"/>
      <c r="M29" s="103"/>
      <c r="N29" s="103"/>
      <c r="O29" s="103">
        <v>329847.8</v>
      </c>
      <c r="P29" s="103">
        <f t="shared" si="4"/>
        <v>329847.8</v>
      </c>
    </row>
    <row r="30" spans="1:16" s="98" customFormat="1" ht="52.5" customHeight="1">
      <c r="A30" s="99" t="s">
        <v>221</v>
      </c>
      <c r="B30" s="104" t="s">
        <v>222</v>
      </c>
      <c r="C30" s="104" t="s">
        <v>139</v>
      </c>
      <c r="D30" s="105" t="s">
        <v>223</v>
      </c>
      <c r="E30" s="107">
        <v>3832000</v>
      </c>
      <c r="F30" s="103">
        <v>3832000</v>
      </c>
      <c r="G30" s="103"/>
      <c r="H30" s="103"/>
      <c r="I30" s="103"/>
      <c r="J30" s="103">
        <f>6180000+100000+947000</f>
        <v>7227000</v>
      </c>
      <c r="K30" s="103">
        <f>6180000+100000+947000</f>
        <v>7227000</v>
      </c>
      <c r="L30" s="165"/>
      <c r="M30" s="103"/>
      <c r="N30" s="103"/>
      <c r="O30" s="103">
        <f>6180000+100000+947000</f>
        <v>7227000</v>
      </c>
      <c r="P30" s="103">
        <f t="shared" si="4"/>
        <v>11059000</v>
      </c>
    </row>
    <row r="31" spans="1:16" s="98" customFormat="1" ht="52.5" customHeight="1">
      <c r="A31" s="99" t="s">
        <v>410</v>
      </c>
      <c r="B31" s="104" t="s">
        <v>411</v>
      </c>
      <c r="C31" s="104" t="s">
        <v>245</v>
      </c>
      <c r="D31" s="105" t="s">
        <v>412</v>
      </c>
      <c r="E31" s="107"/>
      <c r="F31" s="103"/>
      <c r="G31" s="103"/>
      <c r="H31" s="103"/>
      <c r="I31" s="103"/>
      <c r="J31" s="103">
        <v>10000</v>
      </c>
      <c r="K31" s="103">
        <v>10000</v>
      </c>
      <c r="L31" s="218"/>
      <c r="M31" s="103"/>
      <c r="N31" s="103"/>
      <c r="O31" s="103">
        <v>10000</v>
      </c>
      <c r="P31" s="103">
        <v>10000</v>
      </c>
    </row>
    <row r="32" spans="1:16" s="98" customFormat="1" ht="32.25" customHeight="1">
      <c r="A32" s="99" t="s">
        <v>255</v>
      </c>
      <c r="B32" s="104" t="s">
        <v>256</v>
      </c>
      <c r="C32" s="104" t="s">
        <v>245</v>
      </c>
      <c r="D32" s="105" t="s">
        <v>257</v>
      </c>
      <c r="E32" s="107">
        <v>17900</v>
      </c>
      <c r="F32" s="103">
        <f>14700+3200</f>
        <v>17900</v>
      </c>
      <c r="G32" s="103"/>
      <c r="H32" s="103"/>
      <c r="I32" s="103"/>
      <c r="J32" s="103"/>
      <c r="K32" s="103"/>
      <c r="L32" s="219"/>
      <c r="M32" s="103"/>
      <c r="N32" s="103"/>
      <c r="O32" s="103"/>
      <c r="P32" s="103">
        <f t="shared" si="4"/>
        <v>17900</v>
      </c>
    </row>
    <row r="33" spans="1:16" s="98" customFormat="1" ht="46.5" customHeight="1">
      <c r="A33" s="99" t="s">
        <v>98</v>
      </c>
      <c r="B33" s="104" t="s">
        <v>99</v>
      </c>
      <c r="C33" s="104" t="s">
        <v>136</v>
      </c>
      <c r="D33" s="105" t="s">
        <v>236</v>
      </c>
      <c r="E33" s="107">
        <f>F33</f>
        <v>42500</v>
      </c>
      <c r="F33" s="103">
        <v>42500</v>
      </c>
      <c r="G33" s="103"/>
      <c r="H33" s="103"/>
      <c r="I33" s="103"/>
      <c r="J33" s="103"/>
      <c r="K33" s="103"/>
      <c r="L33" s="103"/>
      <c r="M33" s="103"/>
      <c r="N33" s="103"/>
      <c r="O33" s="103"/>
      <c r="P33" s="103">
        <f t="shared" si="4"/>
        <v>42500</v>
      </c>
    </row>
    <row r="34" spans="1:16" s="98" customFormat="1" ht="32.25" customHeight="1">
      <c r="A34" s="99" t="s">
        <v>91</v>
      </c>
      <c r="B34" s="104" t="s">
        <v>92</v>
      </c>
      <c r="C34" s="104" t="s">
        <v>136</v>
      </c>
      <c r="D34" s="105" t="s">
        <v>93</v>
      </c>
      <c r="E34" s="107">
        <f>F34</f>
        <v>148566</v>
      </c>
      <c r="F34" s="103">
        <f>158446-35000-5000+30120</f>
        <v>148566</v>
      </c>
      <c r="G34" s="103">
        <f>122000-28700-5000-40300</f>
        <v>48000</v>
      </c>
      <c r="H34" s="103">
        <v>2706</v>
      </c>
      <c r="I34" s="103"/>
      <c r="J34" s="103"/>
      <c r="K34" s="103"/>
      <c r="L34" s="103"/>
      <c r="M34" s="103"/>
      <c r="N34" s="103"/>
      <c r="O34" s="103"/>
      <c r="P34" s="103">
        <f t="shared" si="4"/>
        <v>148566</v>
      </c>
    </row>
    <row r="35" spans="1:16" s="98" customFormat="1" ht="32.25" customHeight="1">
      <c r="A35" s="99" t="s">
        <v>78</v>
      </c>
      <c r="B35" s="104" t="s">
        <v>79</v>
      </c>
      <c r="C35" s="104" t="s">
        <v>136</v>
      </c>
      <c r="D35" s="105" t="s">
        <v>80</v>
      </c>
      <c r="E35" s="107">
        <f>F35</f>
        <v>723532</v>
      </c>
      <c r="F35" s="103">
        <f>713532+10000</f>
        <v>723532</v>
      </c>
      <c r="G35" s="103">
        <f>491495+4098</f>
        <v>495593</v>
      </c>
      <c r="H35" s="103">
        <v>18289</v>
      </c>
      <c r="I35" s="103"/>
      <c r="J35" s="103"/>
      <c r="K35" s="103"/>
      <c r="L35" s="103"/>
      <c r="M35" s="103"/>
      <c r="N35" s="103"/>
      <c r="O35" s="103"/>
      <c r="P35" s="103">
        <f t="shared" si="4"/>
        <v>723532</v>
      </c>
    </row>
    <row r="36" spans="1:16" s="98" customFormat="1" ht="32.25" customHeight="1">
      <c r="A36" s="99" t="s">
        <v>277</v>
      </c>
      <c r="B36" s="104" t="s">
        <v>278</v>
      </c>
      <c r="C36" s="104" t="s">
        <v>279</v>
      </c>
      <c r="D36" s="105" t="s">
        <v>280</v>
      </c>
      <c r="E36" s="107">
        <v>40000</v>
      </c>
      <c r="F36" s="103">
        <v>40000</v>
      </c>
      <c r="G36" s="103"/>
      <c r="H36" s="103"/>
      <c r="I36" s="103"/>
      <c r="J36" s="103"/>
      <c r="K36" s="103"/>
      <c r="L36" s="103"/>
      <c r="M36" s="103"/>
      <c r="N36" s="103"/>
      <c r="O36" s="103"/>
      <c r="P36" s="103">
        <v>40000</v>
      </c>
    </row>
    <row r="37" spans="1:16" s="98" customFormat="1" ht="15">
      <c r="A37" s="99" t="s">
        <v>100</v>
      </c>
      <c r="B37" s="104" t="s">
        <v>101</v>
      </c>
      <c r="C37" s="104" t="s">
        <v>208</v>
      </c>
      <c r="D37" s="105" t="s">
        <v>209</v>
      </c>
      <c r="E37" s="107">
        <f>F37</f>
        <v>0</v>
      </c>
      <c r="F37" s="103"/>
      <c r="G37" s="103"/>
      <c r="H37" s="103"/>
      <c r="I37" s="103"/>
      <c r="J37" s="103">
        <v>93949</v>
      </c>
      <c r="K37" s="103"/>
      <c r="L37" s="103">
        <v>93949</v>
      </c>
      <c r="M37" s="103"/>
      <c r="N37" s="103"/>
      <c r="O37" s="103"/>
      <c r="P37" s="103">
        <f t="shared" si="4"/>
        <v>93949</v>
      </c>
    </row>
    <row r="38" spans="1:16" s="98" customFormat="1" ht="15">
      <c r="A38" s="99" t="s">
        <v>102</v>
      </c>
      <c r="B38" s="104" t="s">
        <v>103</v>
      </c>
      <c r="C38" s="104" t="s">
        <v>140</v>
      </c>
      <c r="D38" s="105" t="s">
        <v>104</v>
      </c>
      <c r="E38" s="107">
        <f>F38</f>
        <v>1896340</v>
      </c>
      <c r="F38" s="107">
        <f>1544940+43400+3900+5000+299100</f>
        <v>1896340</v>
      </c>
      <c r="G38" s="103"/>
      <c r="H38" s="103"/>
      <c r="I38" s="103"/>
      <c r="J38" s="103"/>
      <c r="K38" s="103"/>
      <c r="L38" s="103"/>
      <c r="M38" s="103"/>
      <c r="N38" s="103"/>
      <c r="O38" s="103"/>
      <c r="P38" s="103">
        <f t="shared" si="4"/>
        <v>1896340</v>
      </c>
    </row>
    <row r="39" spans="1:16" s="98" customFormat="1" ht="60">
      <c r="A39" s="99" t="s">
        <v>350</v>
      </c>
      <c r="B39" s="104" t="s">
        <v>351</v>
      </c>
      <c r="C39" s="104" t="s">
        <v>140</v>
      </c>
      <c r="D39" s="105" t="s">
        <v>352</v>
      </c>
      <c r="E39" s="107">
        <f>152000+16100+10000</f>
        <v>178100</v>
      </c>
      <c r="F39" s="107">
        <f>152000+16100+10000</f>
        <v>178100</v>
      </c>
      <c r="G39" s="103"/>
      <c r="H39" s="103"/>
      <c r="I39" s="103"/>
      <c r="J39" s="103">
        <v>218000</v>
      </c>
      <c r="K39" s="103">
        <v>218000</v>
      </c>
      <c r="L39" s="103"/>
      <c r="M39" s="103"/>
      <c r="N39" s="103"/>
      <c r="O39" s="103">
        <v>218000</v>
      </c>
      <c r="P39" s="103">
        <v>370000</v>
      </c>
    </row>
    <row r="40" spans="1:16" s="98" customFormat="1" ht="60">
      <c r="A40" s="99" t="s">
        <v>106</v>
      </c>
      <c r="B40" s="104" t="s">
        <v>107</v>
      </c>
      <c r="C40" s="104" t="s">
        <v>140</v>
      </c>
      <c r="D40" s="105" t="s">
        <v>105</v>
      </c>
      <c r="E40" s="107">
        <f>F40</f>
        <v>13426100</v>
      </c>
      <c r="F40" s="107">
        <v>13426100</v>
      </c>
      <c r="G40" s="103"/>
      <c r="H40" s="103"/>
      <c r="I40" s="103"/>
      <c r="J40" s="103"/>
      <c r="K40" s="103"/>
      <c r="L40" s="103"/>
      <c r="M40" s="103"/>
      <c r="N40" s="103"/>
      <c r="O40" s="103"/>
      <c r="P40" s="103">
        <f t="shared" si="4"/>
        <v>13426100</v>
      </c>
    </row>
    <row r="41" spans="1:16" s="98" customFormat="1" ht="30">
      <c r="A41" s="99" t="s">
        <v>216</v>
      </c>
      <c r="B41" s="104" t="s">
        <v>140</v>
      </c>
      <c r="C41" s="104" t="s">
        <v>207</v>
      </c>
      <c r="D41" s="105" t="s">
        <v>224</v>
      </c>
      <c r="E41" s="107">
        <f>F41</f>
        <v>373704</v>
      </c>
      <c r="F41" s="103">
        <v>373704</v>
      </c>
      <c r="G41" s="103">
        <v>259470</v>
      </c>
      <c r="H41" s="103">
        <v>22400</v>
      </c>
      <c r="I41" s="103"/>
      <c r="J41" s="103"/>
      <c r="K41" s="103"/>
      <c r="L41" s="103"/>
      <c r="M41" s="103"/>
      <c r="N41" s="103"/>
      <c r="O41" s="103"/>
      <c r="P41" s="103">
        <f>E41+J41</f>
        <v>373704</v>
      </c>
    </row>
    <row r="42" spans="1:16" s="98" customFormat="1" ht="15">
      <c r="A42" s="99" t="s">
        <v>94</v>
      </c>
      <c r="B42" s="104" t="s">
        <v>95</v>
      </c>
      <c r="C42" s="104" t="s">
        <v>207</v>
      </c>
      <c r="D42" s="105" t="s">
        <v>211</v>
      </c>
      <c r="E42" s="107">
        <v>120000</v>
      </c>
      <c r="F42" s="103"/>
      <c r="G42" s="103"/>
      <c r="H42" s="103"/>
      <c r="I42" s="103"/>
      <c r="J42" s="103"/>
      <c r="K42" s="103"/>
      <c r="L42" s="103"/>
      <c r="M42" s="103"/>
      <c r="N42" s="103"/>
      <c r="O42" s="103"/>
      <c r="P42" s="103">
        <f t="shared" si="4"/>
        <v>120000</v>
      </c>
    </row>
    <row r="43" spans="1:16" s="98" customFormat="1" ht="28.5">
      <c r="A43" s="99" t="s">
        <v>112</v>
      </c>
      <c r="B43" s="108"/>
      <c r="C43" s="104"/>
      <c r="D43" s="109" t="s">
        <v>212</v>
      </c>
      <c r="E43" s="156">
        <f>SUM(E44)</f>
        <v>83278538</v>
      </c>
      <c r="F43" s="156">
        <f>SUM(F44)</f>
        <v>83278538</v>
      </c>
      <c r="G43" s="156">
        <f>SUM(G45:G53)</f>
        <v>57749960</v>
      </c>
      <c r="H43" s="156">
        <f>SUM(H45:H53)</f>
        <v>3246001</v>
      </c>
      <c r="I43" s="156">
        <f>SUM(I44:I53)</f>
        <v>0</v>
      </c>
      <c r="J43" s="156">
        <f>SUM(J44)</f>
        <v>2789374</v>
      </c>
      <c r="K43" s="156">
        <f>SUM(K44)</f>
        <v>934624</v>
      </c>
      <c r="L43" s="156">
        <f>SUM(L44)</f>
        <v>1854750</v>
      </c>
      <c r="M43" s="156">
        <f>SUM(M44)</f>
        <v>242005</v>
      </c>
      <c r="N43" s="156">
        <f>SUM(N44:N53)</f>
        <v>0</v>
      </c>
      <c r="O43" s="156">
        <f>SUM(O44)</f>
        <v>934624</v>
      </c>
      <c r="P43" s="156">
        <f>SUM(P44)</f>
        <v>86067912</v>
      </c>
    </row>
    <row r="44" spans="1:16" s="98" customFormat="1" ht="28.5">
      <c r="A44" s="99" t="s">
        <v>113</v>
      </c>
      <c r="B44" s="108"/>
      <c r="C44" s="104"/>
      <c r="D44" s="109" t="s">
        <v>212</v>
      </c>
      <c r="E44" s="156">
        <f>SUM(E45:E54)</f>
        <v>83278538</v>
      </c>
      <c r="F44" s="156">
        <f>SUM(F45:F54)</f>
        <v>83278538</v>
      </c>
      <c r="G44" s="156">
        <f>SUM(G45:G54)</f>
        <v>57749960</v>
      </c>
      <c r="H44" s="156">
        <f>SUM(H45:H54)</f>
        <v>3246001</v>
      </c>
      <c r="I44" s="156">
        <f>SUM(I45:I54)</f>
        <v>0</v>
      </c>
      <c r="J44" s="156">
        <f aca="true" t="shared" si="5" ref="J44:O44">SUM(J45:J55)</f>
        <v>2789374</v>
      </c>
      <c r="K44" s="156">
        <f t="shared" si="5"/>
        <v>934624</v>
      </c>
      <c r="L44" s="156">
        <f t="shared" si="5"/>
        <v>1854750</v>
      </c>
      <c r="M44" s="156">
        <f t="shared" si="5"/>
        <v>242005</v>
      </c>
      <c r="N44" s="156">
        <f t="shared" si="5"/>
        <v>0</v>
      </c>
      <c r="O44" s="156">
        <f t="shared" si="5"/>
        <v>934624</v>
      </c>
      <c r="P44" s="156">
        <f>SUM(P45:P55)</f>
        <v>86067912</v>
      </c>
    </row>
    <row r="45" spans="1:16" s="98" customFormat="1" ht="15">
      <c r="A45" s="99" t="s">
        <v>114</v>
      </c>
      <c r="B45" s="108">
        <v>1010</v>
      </c>
      <c r="C45" s="104" t="s">
        <v>141</v>
      </c>
      <c r="D45" s="105" t="s">
        <v>108</v>
      </c>
      <c r="E45" s="107">
        <f aca="true" t="shared" si="6" ref="E45:E54">F45</f>
        <v>18146900</v>
      </c>
      <c r="F45" s="107">
        <f>18195585+33000-50000-1000-30685</f>
        <v>18146900</v>
      </c>
      <c r="G45" s="107">
        <f>11728872+21639</f>
        <v>11750511</v>
      </c>
      <c r="H45" s="107">
        <f>789905+50085</f>
        <v>839990</v>
      </c>
      <c r="I45" s="107"/>
      <c r="J45" s="107">
        <f>1180375+54995+18000</f>
        <v>1253370</v>
      </c>
      <c r="K45" s="107">
        <f>54995+18000</f>
        <v>72995</v>
      </c>
      <c r="L45" s="107">
        <v>1180375</v>
      </c>
      <c r="M45" s="107">
        <v>41700</v>
      </c>
      <c r="N45" s="107"/>
      <c r="O45" s="107">
        <f>54995+18000</f>
        <v>72995</v>
      </c>
      <c r="P45" s="103">
        <f aca="true" t="shared" si="7" ref="P45:P63">E45+J45</f>
        <v>19400270</v>
      </c>
    </row>
    <row r="46" spans="1:16" s="98" customFormat="1" ht="90">
      <c r="A46" s="99" t="s">
        <v>115</v>
      </c>
      <c r="B46" s="108">
        <v>1020</v>
      </c>
      <c r="C46" s="104" t="s">
        <v>142</v>
      </c>
      <c r="D46" s="105" t="s">
        <v>213</v>
      </c>
      <c r="E46" s="107">
        <f t="shared" si="6"/>
        <v>57266923</v>
      </c>
      <c r="F46" s="107">
        <f>56710115+18300+5910+11630+134728-570452+396285-43556+400000+50000+123278+30685</f>
        <v>57266923</v>
      </c>
      <c r="G46" s="107">
        <f>40638344+110433-467583-28562</f>
        <v>40252632</v>
      </c>
      <c r="H46" s="107">
        <f>2169883+84000+50000</f>
        <v>2303883</v>
      </c>
      <c r="I46" s="107"/>
      <c r="J46" s="107">
        <f>674375+89400+134375+44206+153604+43556+11000+109768+11000+63611</f>
        <v>1334895</v>
      </c>
      <c r="K46" s="107">
        <f>89400+134375+44206+153604+43556+11000+109768+11000+63611</f>
        <v>660520</v>
      </c>
      <c r="L46" s="107">
        <v>674375</v>
      </c>
      <c r="M46" s="107">
        <v>200305</v>
      </c>
      <c r="N46" s="107"/>
      <c r="O46" s="107">
        <f>89400+134375+44206+153604+43556+11000+109768+11000+63611</f>
        <v>660520</v>
      </c>
      <c r="P46" s="103">
        <f t="shared" si="7"/>
        <v>58601818</v>
      </c>
    </row>
    <row r="47" spans="1:16" s="98" customFormat="1" ht="60">
      <c r="A47" s="99" t="s">
        <v>116</v>
      </c>
      <c r="B47" s="108">
        <v>1090</v>
      </c>
      <c r="C47" s="104" t="s">
        <v>143</v>
      </c>
      <c r="D47" s="105" t="s">
        <v>214</v>
      </c>
      <c r="E47" s="107">
        <f t="shared" si="6"/>
        <v>2853134</v>
      </c>
      <c r="F47" s="107">
        <f>2828134+25000</f>
        <v>2853134</v>
      </c>
      <c r="G47" s="107">
        <f>2183019</f>
        <v>2183019</v>
      </c>
      <c r="H47" s="107">
        <v>60150</v>
      </c>
      <c r="I47" s="107"/>
      <c r="J47" s="107"/>
      <c r="K47" s="107"/>
      <c r="L47" s="107"/>
      <c r="M47" s="107"/>
      <c r="N47" s="107"/>
      <c r="O47" s="107"/>
      <c r="P47" s="103">
        <f t="shared" si="7"/>
        <v>2853134</v>
      </c>
    </row>
    <row r="48" spans="1:16" s="98" customFormat="1" ht="30">
      <c r="A48" s="99" t="s">
        <v>231</v>
      </c>
      <c r="B48" s="108">
        <v>1161</v>
      </c>
      <c r="C48" s="104" t="s">
        <v>144</v>
      </c>
      <c r="D48" s="105" t="s">
        <v>232</v>
      </c>
      <c r="E48" s="107">
        <f t="shared" si="6"/>
        <v>2619817</v>
      </c>
      <c r="F48" s="107">
        <f>2658368+7664-46215</f>
        <v>2619817</v>
      </c>
      <c r="G48" s="107">
        <f>2020132+6282</f>
        <v>2026414</v>
      </c>
      <c r="H48" s="107">
        <v>11788</v>
      </c>
      <c r="I48" s="107"/>
      <c r="J48" s="107"/>
      <c r="K48" s="107"/>
      <c r="L48" s="107"/>
      <c r="M48" s="107"/>
      <c r="N48" s="107"/>
      <c r="O48" s="107"/>
      <c r="P48" s="103">
        <f t="shared" si="7"/>
        <v>2619817</v>
      </c>
    </row>
    <row r="49" spans="1:16" s="98" customFormat="1" ht="30">
      <c r="A49" s="99" t="s">
        <v>388</v>
      </c>
      <c r="B49" s="108">
        <v>1170</v>
      </c>
      <c r="C49" s="104"/>
      <c r="D49" s="105" t="s">
        <v>389</v>
      </c>
      <c r="E49" s="107">
        <f>616667+70000</f>
        <v>686667</v>
      </c>
      <c r="F49" s="107">
        <f>616667+70000</f>
        <v>686667</v>
      </c>
      <c r="G49" s="107">
        <v>467583</v>
      </c>
      <c r="H49" s="107"/>
      <c r="I49" s="107"/>
      <c r="J49" s="107"/>
      <c r="K49" s="107"/>
      <c r="L49" s="107"/>
      <c r="M49" s="107"/>
      <c r="N49" s="107"/>
      <c r="O49" s="107"/>
      <c r="P49" s="103">
        <f t="shared" si="7"/>
        <v>686667</v>
      </c>
    </row>
    <row r="50" spans="1:16" s="98" customFormat="1" ht="60">
      <c r="A50" s="99" t="s">
        <v>233</v>
      </c>
      <c r="B50" s="108">
        <v>3131</v>
      </c>
      <c r="C50" s="104" t="s">
        <v>204</v>
      </c>
      <c r="D50" s="105" t="s">
        <v>238</v>
      </c>
      <c r="E50" s="107">
        <f t="shared" si="6"/>
        <v>113500</v>
      </c>
      <c r="F50" s="107">
        <f>14500+99000</f>
        <v>113500</v>
      </c>
      <c r="G50" s="107"/>
      <c r="H50" s="107"/>
      <c r="I50" s="107"/>
      <c r="J50" s="107"/>
      <c r="K50" s="107"/>
      <c r="L50" s="107"/>
      <c r="M50" s="107"/>
      <c r="N50" s="107"/>
      <c r="O50" s="107"/>
      <c r="P50" s="103">
        <f t="shared" si="7"/>
        <v>113500</v>
      </c>
    </row>
    <row r="51" spans="1:16" s="98" customFormat="1" ht="90">
      <c r="A51" s="99" t="s">
        <v>402</v>
      </c>
      <c r="B51" s="108">
        <v>3140</v>
      </c>
      <c r="C51" s="104"/>
      <c r="D51" s="105" t="s">
        <v>403</v>
      </c>
      <c r="E51" s="107">
        <v>39000</v>
      </c>
      <c r="F51" s="107">
        <v>39000</v>
      </c>
      <c r="G51" s="107"/>
      <c r="H51" s="107"/>
      <c r="I51" s="107"/>
      <c r="J51" s="107"/>
      <c r="K51" s="107"/>
      <c r="L51" s="107"/>
      <c r="M51" s="107"/>
      <c r="N51" s="107"/>
      <c r="O51" s="107"/>
      <c r="P51" s="103">
        <f t="shared" si="7"/>
        <v>39000</v>
      </c>
    </row>
    <row r="52" spans="1:16" s="98" customFormat="1" ht="45">
      <c r="A52" s="99" t="s">
        <v>117</v>
      </c>
      <c r="B52" s="108">
        <v>5031</v>
      </c>
      <c r="C52" s="104" t="s">
        <v>145</v>
      </c>
      <c r="D52" s="105" t="s">
        <v>215</v>
      </c>
      <c r="E52" s="107">
        <f t="shared" si="6"/>
        <v>1422597</v>
      </c>
      <c r="F52" s="107">
        <f>1437606-2950+1000-13059</f>
        <v>1422597</v>
      </c>
      <c r="G52" s="107">
        <f>1082923-2418-10704</f>
        <v>1069801</v>
      </c>
      <c r="H52" s="107">
        <v>30190</v>
      </c>
      <c r="I52" s="107"/>
      <c r="J52" s="107">
        <f>2950+13059</f>
        <v>16009</v>
      </c>
      <c r="K52" s="107">
        <v>16009</v>
      </c>
      <c r="L52" s="107"/>
      <c r="M52" s="107"/>
      <c r="N52" s="107"/>
      <c r="O52" s="107">
        <v>16009</v>
      </c>
      <c r="P52" s="103">
        <f t="shared" si="7"/>
        <v>1438606</v>
      </c>
    </row>
    <row r="53" spans="1:16" s="98" customFormat="1" ht="45">
      <c r="A53" s="99" t="s">
        <v>118</v>
      </c>
      <c r="B53" s="108">
        <v>5011</v>
      </c>
      <c r="C53" s="104" t="s">
        <v>145</v>
      </c>
      <c r="D53" s="105" t="s">
        <v>14</v>
      </c>
      <c r="E53" s="107">
        <f t="shared" si="6"/>
        <v>110000</v>
      </c>
      <c r="F53" s="103">
        <v>110000</v>
      </c>
      <c r="G53" s="103"/>
      <c r="H53" s="103"/>
      <c r="I53" s="103"/>
      <c r="J53" s="103"/>
      <c r="K53" s="103"/>
      <c r="L53" s="103"/>
      <c r="M53" s="103"/>
      <c r="N53" s="103"/>
      <c r="O53" s="103"/>
      <c r="P53" s="103">
        <f t="shared" si="7"/>
        <v>110000</v>
      </c>
    </row>
    <row r="54" spans="1:16" s="98" customFormat="1" ht="45">
      <c r="A54" s="99" t="s">
        <v>119</v>
      </c>
      <c r="B54" s="108">
        <v>5012</v>
      </c>
      <c r="C54" s="104" t="s">
        <v>145</v>
      </c>
      <c r="D54" s="105" t="s">
        <v>151</v>
      </c>
      <c r="E54" s="107">
        <f t="shared" si="6"/>
        <v>20000</v>
      </c>
      <c r="F54" s="103">
        <v>20000</v>
      </c>
      <c r="G54" s="103"/>
      <c r="H54" s="103"/>
      <c r="I54" s="103"/>
      <c r="J54" s="103"/>
      <c r="K54" s="103"/>
      <c r="L54" s="103"/>
      <c r="M54" s="103"/>
      <c r="N54" s="103"/>
      <c r="O54" s="103"/>
      <c r="P54" s="103">
        <f>E54+J54</f>
        <v>20000</v>
      </c>
    </row>
    <row r="55" spans="1:16" s="98" customFormat="1" ht="60">
      <c r="A55" s="99" t="s">
        <v>392</v>
      </c>
      <c r="B55" s="108">
        <v>7361</v>
      </c>
      <c r="C55" s="104" t="s">
        <v>245</v>
      </c>
      <c r="D55" s="105" t="s">
        <v>393</v>
      </c>
      <c r="E55" s="107"/>
      <c r="F55" s="103"/>
      <c r="G55" s="103"/>
      <c r="H55" s="103"/>
      <c r="I55" s="103"/>
      <c r="J55" s="103">
        <v>185100</v>
      </c>
      <c r="K55" s="103">
        <v>185100</v>
      </c>
      <c r="L55" s="103"/>
      <c r="M55" s="103"/>
      <c r="N55" s="103"/>
      <c r="O55" s="103">
        <v>185100</v>
      </c>
      <c r="P55" s="103">
        <v>185100</v>
      </c>
    </row>
    <row r="56" spans="1:16" s="98" customFormat="1" ht="42.75">
      <c r="A56" s="106">
        <v>1000000</v>
      </c>
      <c r="B56" s="108"/>
      <c r="C56" s="104"/>
      <c r="D56" s="109" t="s">
        <v>15</v>
      </c>
      <c r="E56" s="103">
        <f aca="true" t="shared" si="8" ref="E56:O56">SUM(E58:E62)</f>
        <v>8639180</v>
      </c>
      <c r="F56" s="103">
        <f t="shared" si="8"/>
        <v>8639180</v>
      </c>
      <c r="G56" s="103">
        <f t="shared" si="8"/>
        <v>6186492</v>
      </c>
      <c r="H56" s="103">
        <f t="shared" si="8"/>
        <v>559610</v>
      </c>
      <c r="I56" s="103">
        <f t="shared" si="8"/>
        <v>0</v>
      </c>
      <c r="J56" s="103">
        <f t="shared" si="8"/>
        <v>1931884</v>
      </c>
      <c r="K56" s="103">
        <f t="shared" si="8"/>
        <v>1642129</v>
      </c>
      <c r="L56" s="103">
        <f t="shared" si="8"/>
        <v>289755</v>
      </c>
      <c r="M56" s="103">
        <f t="shared" si="8"/>
        <v>181150</v>
      </c>
      <c r="N56" s="103">
        <f t="shared" si="8"/>
        <v>0</v>
      </c>
      <c r="O56" s="103">
        <f t="shared" si="8"/>
        <v>1642129</v>
      </c>
      <c r="P56" s="103">
        <f>SUM(P58:P62)</f>
        <v>10571064</v>
      </c>
    </row>
    <row r="57" spans="1:16" s="98" customFormat="1" ht="42.75">
      <c r="A57" s="106">
        <v>1010000</v>
      </c>
      <c r="B57" s="108"/>
      <c r="C57" s="104"/>
      <c r="D57" s="109" t="s">
        <v>15</v>
      </c>
      <c r="E57" s="103">
        <f aca="true" t="shared" si="9" ref="E57:O57">SUM(E58:E62)</f>
        <v>8639180</v>
      </c>
      <c r="F57" s="103">
        <f t="shared" si="9"/>
        <v>8639180</v>
      </c>
      <c r="G57" s="103">
        <f t="shared" si="9"/>
        <v>6186492</v>
      </c>
      <c r="H57" s="103">
        <f t="shared" si="9"/>
        <v>559610</v>
      </c>
      <c r="I57" s="103">
        <f t="shared" si="9"/>
        <v>0</v>
      </c>
      <c r="J57" s="103">
        <f t="shared" si="9"/>
        <v>1931884</v>
      </c>
      <c r="K57" s="103">
        <f t="shared" si="9"/>
        <v>1642129</v>
      </c>
      <c r="L57" s="103">
        <f t="shared" si="9"/>
        <v>289755</v>
      </c>
      <c r="M57" s="103">
        <f t="shared" si="9"/>
        <v>181150</v>
      </c>
      <c r="N57" s="103">
        <f t="shared" si="9"/>
        <v>0</v>
      </c>
      <c r="O57" s="103">
        <f t="shared" si="9"/>
        <v>1642129</v>
      </c>
      <c r="P57" s="103">
        <f>SUM(P58:P62)</f>
        <v>10571064</v>
      </c>
    </row>
    <row r="58" spans="1:16" s="98" customFormat="1" ht="33" customHeight="1">
      <c r="A58" s="106">
        <v>1014081</v>
      </c>
      <c r="B58" s="108">
        <v>4081</v>
      </c>
      <c r="C58" s="104" t="s">
        <v>146</v>
      </c>
      <c r="D58" s="105" t="s">
        <v>225</v>
      </c>
      <c r="E58" s="107">
        <f>F58</f>
        <v>319303</v>
      </c>
      <c r="F58" s="107">
        <v>319303</v>
      </c>
      <c r="G58" s="107">
        <v>243525</v>
      </c>
      <c r="H58" s="107"/>
      <c r="I58" s="107"/>
      <c r="J58" s="107"/>
      <c r="K58" s="103"/>
      <c r="L58" s="107"/>
      <c r="M58" s="107"/>
      <c r="N58" s="107"/>
      <c r="O58" s="107"/>
      <c r="P58" s="103">
        <f t="shared" si="7"/>
        <v>319303</v>
      </c>
    </row>
    <row r="59" spans="1:16" s="98" customFormat="1" ht="15">
      <c r="A59" s="106">
        <v>1014030</v>
      </c>
      <c r="B59" s="108">
        <v>4030</v>
      </c>
      <c r="C59" s="104" t="s">
        <v>147</v>
      </c>
      <c r="D59" s="105" t="s">
        <v>109</v>
      </c>
      <c r="E59" s="107">
        <f>F59</f>
        <v>2304071</v>
      </c>
      <c r="F59" s="107">
        <f>2284948+19123</f>
        <v>2304071</v>
      </c>
      <c r="G59" s="107">
        <v>1591352</v>
      </c>
      <c r="H59" s="107">
        <v>187120</v>
      </c>
      <c r="I59" s="107"/>
      <c r="J59" s="107">
        <v>51400</v>
      </c>
      <c r="K59" s="103">
        <v>43000</v>
      </c>
      <c r="L59" s="107">
        <v>8400</v>
      </c>
      <c r="M59" s="107"/>
      <c r="N59" s="107"/>
      <c r="O59" s="107">
        <v>43000</v>
      </c>
      <c r="P59" s="103">
        <f t="shared" si="7"/>
        <v>2355471</v>
      </c>
    </row>
    <row r="60" spans="1:16" s="98" customFormat="1" ht="45">
      <c r="A60" s="106">
        <v>1014060</v>
      </c>
      <c r="B60" s="108">
        <v>4060</v>
      </c>
      <c r="C60" s="104" t="s">
        <v>148</v>
      </c>
      <c r="D60" s="105" t="s">
        <v>110</v>
      </c>
      <c r="E60" s="107">
        <f>F60</f>
        <v>3261173</v>
      </c>
      <c r="F60" s="107">
        <v>3261173</v>
      </c>
      <c r="G60" s="107">
        <v>2304870</v>
      </c>
      <c r="H60" s="107">
        <v>177755</v>
      </c>
      <c r="I60" s="107"/>
      <c r="J60" s="107">
        <v>212100</v>
      </c>
      <c r="K60" s="103">
        <v>115000</v>
      </c>
      <c r="L60" s="107">
        <v>97100</v>
      </c>
      <c r="M60" s="107">
        <v>53330</v>
      </c>
      <c r="N60" s="107"/>
      <c r="O60" s="107">
        <v>115000</v>
      </c>
      <c r="P60" s="103">
        <f t="shared" si="7"/>
        <v>3473273</v>
      </c>
    </row>
    <row r="61" spans="1:16" s="98" customFormat="1" ht="75">
      <c r="A61" s="106">
        <v>1011100</v>
      </c>
      <c r="B61" s="108">
        <v>1100</v>
      </c>
      <c r="C61" s="104" t="s">
        <v>143</v>
      </c>
      <c r="D61" s="105" t="s">
        <v>111</v>
      </c>
      <c r="E61" s="107">
        <f>F61</f>
        <v>2754633</v>
      </c>
      <c r="F61" s="107">
        <v>2754633</v>
      </c>
      <c r="G61" s="107">
        <v>2046745</v>
      </c>
      <c r="H61" s="107">
        <f>194427+308</f>
        <v>194735</v>
      </c>
      <c r="I61" s="107"/>
      <c r="J61" s="107">
        <v>184255</v>
      </c>
      <c r="K61" s="103"/>
      <c r="L61" s="107">
        <v>184255</v>
      </c>
      <c r="M61" s="107">
        <v>127820</v>
      </c>
      <c r="N61" s="107"/>
      <c r="O61" s="107"/>
      <c r="P61" s="103">
        <f t="shared" si="7"/>
        <v>2938888</v>
      </c>
    </row>
    <row r="62" spans="1:16" s="98" customFormat="1" ht="75">
      <c r="A62" s="99" t="s">
        <v>378</v>
      </c>
      <c r="B62" s="104" t="s">
        <v>370</v>
      </c>
      <c r="C62" s="104" t="s">
        <v>245</v>
      </c>
      <c r="D62" s="105" t="s">
        <v>371</v>
      </c>
      <c r="E62" s="107"/>
      <c r="F62" s="107"/>
      <c r="G62" s="107"/>
      <c r="H62" s="107"/>
      <c r="I62" s="107"/>
      <c r="J62" s="107">
        <v>1484129</v>
      </c>
      <c r="K62" s="103">
        <v>1484129</v>
      </c>
      <c r="L62" s="107"/>
      <c r="M62" s="107"/>
      <c r="N62" s="107"/>
      <c r="O62" s="107">
        <v>1484129</v>
      </c>
      <c r="P62" s="103">
        <f t="shared" si="7"/>
        <v>1484129</v>
      </c>
    </row>
    <row r="63" spans="1:16" s="98" customFormat="1" ht="33.75" customHeight="1">
      <c r="A63" s="108"/>
      <c r="B63" s="108"/>
      <c r="C63" s="104"/>
      <c r="D63" s="100" t="s">
        <v>337</v>
      </c>
      <c r="E63" s="137">
        <f>E11+E57+E44</f>
        <v>137404283</v>
      </c>
      <c r="F63" s="137">
        <f>F11+F57+F44+1000000</f>
        <v>138237283</v>
      </c>
      <c r="G63" s="137">
        <f aca="true" t="shared" si="10" ref="G63:O63">G11+G57+G44</f>
        <v>79099713</v>
      </c>
      <c r="H63" s="137">
        <f t="shared" si="10"/>
        <v>4955550</v>
      </c>
      <c r="I63" s="137">
        <f t="shared" si="10"/>
        <v>0</v>
      </c>
      <c r="J63" s="137">
        <f t="shared" si="10"/>
        <v>13911392.13</v>
      </c>
      <c r="K63" s="137">
        <f t="shared" si="10"/>
        <v>11502938.13</v>
      </c>
      <c r="L63" s="137">
        <f t="shared" si="10"/>
        <v>2408454</v>
      </c>
      <c r="M63" s="137">
        <f t="shared" si="10"/>
        <v>423155</v>
      </c>
      <c r="N63" s="137">
        <f t="shared" si="10"/>
        <v>20950</v>
      </c>
      <c r="O63" s="137">
        <f t="shared" si="10"/>
        <v>11502938.13</v>
      </c>
      <c r="P63" s="155">
        <f t="shared" si="7"/>
        <v>151315675.13</v>
      </c>
    </row>
    <row r="64" spans="1:16" s="98" customFormat="1" ht="12.75">
      <c r="A64" s="110"/>
      <c r="B64" s="110"/>
      <c r="C64" s="110"/>
      <c r="D64" s="97"/>
      <c r="E64" s="97"/>
      <c r="F64" s="97"/>
      <c r="G64" s="97"/>
      <c r="H64" s="97"/>
      <c r="I64" s="97"/>
      <c r="J64" s="97"/>
      <c r="K64" s="97"/>
      <c r="L64" s="97"/>
      <c r="M64" s="97"/>
      <c r="N64" s="97"/>
      <c r="O64" s="97"/>
      <c r="P64" s="97"/>
    </row>
    <row r="65" spans="1:16" s="98" customFormat="1" ht="23.25" customHeight="1">
      <c r="A65" s="249" t="s">
        <v>253</v>
      </c>
      <c r="B65" s="249"/>
      <c r="C65" s="249"/>
      <c r="D65" s="249"/>
      <c r="E65" s="249"/>
      <c r="F65" s="249"/>
      <c r="G65" s="249"/>
      <c r="H65" s="249"/>
      <c r="I65" s="249"/>
      <c r="J65" s="249"/>
      <c r="K65" s="249"/>
      <c r="L65" s="249"/>
      <c r="M65" s="249"/>
      <c r="N65" s="249"/>
      <c r="O65" s="249"/>
      <c r="P65" s="249"/>
    </row>
    <row r="66" spans="1:17" s="98" customFormat="1" ht="23.25" customHeight="1">
      <c r="A66" s="248"/>
      <c r="B66" s="248"/>
      <c r="C66" s="248"/>
      <c r="D66" s="248"/>
      <c r="E66" s="248"/>
      <c r="F66" s="248"/>
      <c r="G66" s="248"/>
      <c r="H66" s="248"/>
      <c r="I66" s="248"/>
      <c r="J66" s="248"/>
      <c r="K66" s="248"/>
      <c r="L66" s="248"/>
      <c r="M66" s="248"/>
      <c r="N66" s="248"/>
      <c r="O66" s="248"/>
      <c r="P66" s="248"/>
      <c r="Q66" s="248"/>
    </row>
    <row r="67" spans="1:17" s="98" customFormat="1" ht="24" customHeight="1">
      <c r="A67" s="145"/>
      <c r="B67" s="145"/>
      <c r="C67" s="145"/>
      <c r="D67" s="145"/>
      <c r="E67" s="146">
        <f>E63-'дод.1'!D102-'дод.2'!D31+'дод.4'!F12-'дод.4'!J12</f>
        <v>9.313225746154785E-10</v>
      </c>
      <c r="F67" s="145"/>
      <c r="G67" s="145"/>
      <c r="H67" s="145"/>
      <c r="I67" s="145"/>
      <c r="J67" s="157">
        <f>+J63-'дод.1'!E102-'дод.2'!E31+'дод.4'!G12-'дод.4'!K12</f>
        <v>0</v>
      </c>
      <c r="K67" s="157"/>
      <c r="L67" s="145"/>
      <c r="M67" s="145"/>
      <c r="N67" s="145"/>
      <c r="O67" s="145"/>
      <c r="P67" s="146">
        <f>+P63-'дод.1'!C102-'дод.2'!C31-'дод.4'!G12+'дод.4'!Q12</f>
        <v>-4.6566128730773926E-09</v>
      </c>
      <c r="Q67" s="146"/>
    </row>
    <row r="68" spans="1:16" s="98" customFormat="1" ht="27.75" customHeight="1">
      <c r="A68" s="248"/>
      <c r="B68" s="248"/>
      <c r="C68" s="248"/>
      <c r="D68" s="248"/>
      <c r="E68" s="248"/>
      <c r="F68" s="248"/>
      <c r="G68" s="248"/>
      <c r="H68" s="248"/>
      <c r="I68" s="248"/>
      <c r="J68" s="248"/>
      <c r="K68" s="248"/>
      <c r="L68" s="248"/>
      <c r="M68" s="248"/>
      <c r="N68" s="248"/>
      <c r="O68" s="248"/>
      <c r="P68" s="248"/>
    </row>
    <row r="69" spans="5:6" ht="12.75">
      <c r="E69" s="136"/>
      <c r="F69" s="136"/>
    </row>
    <row r="70" spans="10:16" ht="12.75">
      <c r="J70" s="136"/>
      <c r="K70" s="136"/>
      <c r="O70" s="136"/>
      <c r="P70" s="136"/>
    </row>
    <row r="86" spans="5:16" ht="12.75">
      <c r="E86" s="131"/>
      <c r="F86" s="132"/>
      <c r="G86" s="133"/>
      <c r="H86" s="134"/>
      <c r="I86" s="134"/>
      <c r="J86" s="135"/>
      <c r="K86" s="213"/>
      <c r="L86" s="134"/>
      <c r="M86" s="134"/>
      <c r="N86" s="134"/>
      <c r="O86" s="134"/>
      <c r="P86" s="131"/>
    </row>
  </sheetData>
  <sheetProtection/>
  <mergeCells count="26">
    <mergeCell ref="F6:F8"/>
    <mergeCell ref="L6:L8"/>
    <mergeCell ref="A68:P68"/>
    <mergeCell ref="A66:Q66"/>
    <mergeCell ref="A65:P65"/>
    <mergeCell ref="K6:K8"/>
    <mergeCell ref="A1:P1"/>
    <mergeCell ref="M6:N6"/>
    <mergeCell ref="E5:I5"/>
    <mergeCell ref="I6:I8"/>
    <mergeCell ref="N2:Q2"/>
    <mergeCell ref="M7:M8"/>
    <mergeCell ref="C5:C8"/>
    <mergeCell ref="D5:D8"/>
    <mergeCell ref="E6:E8"/>
    <mergeCell ref="N7:N8"/>
    <mergeCell ref="J5:O5"/>
    <mergeCell ref="A3:P3"/>
    <mergeCell ref="G6:H6"/>
    <mergeCell ref="P5:P8"/>
    <mergeCell ref="G7:G8"/>
    <mergeCell ref="H7:H8"/>
    <mergeCell ref="B5:B8"/>
    <mergeCell ref="J6:J8"/>
    <mergeCell ref="A5:A8"/>
    <mergeCell ref="O6:O8"/>
  </mergeCells>
  <printOptions horizontalCentered="1"/>
  <pageMargins left="0.3937007874015748" right="0.3937007874015748" top="0.48" bottom="0.38" header="0.43" footer="0.31496062992125984"/>
  <pageSetup fitToHeight="2" horizontalDpi="300" verticalDpi="300" orientation="landscape" paperSize="9" scale="53" r:id="rId1"/>
  <headerFooter alignWithMargins="0">
    <oddFooter>&amp;R&amp;P</oddFooter>
  </headerFooter>
  <rowBreaks count="1" manualBreakCount="1">
    <brk id="45" max="16" man="1"/>
  </rowBreaks>
</worksheet>
</file>

<file path=xl/worksheets/sheet4.xml><?xml version="1.0" encoding="utf-8"?>
<worksheet xmlns="http://schemas.openxmlformats.org/spreadsheetml/2006/main" xmlns:r="http://schemas.openxmlformats.org/officeDocument/2006/relationships">
  <dimension ref="A2:U17"/>
  <sheetViews>
    <sheetView showGridLines="0" showZeros="0" view="pageBreakPreview" zoomScaleNormal="110" zoomScaleSheetLayoutView="100" zoomScalePageLayoutView="0" workbookViewId="0" topLeftCell="B1">
      <selection activeCell="E3" sqref="E3:M4"/>
    </sheetView>
  </sheetViews>
  <sheetFormatPr defaultColWidth="9.16015625" defaultRowHeight="12.75"/>
  <cols>
    <col min="1" max="1" width="0" style="2" hidden="1" customWidth="1"/>
    <col min="2" max="3" width="12" style="24" customWidth="1"/>
    <col min="4" max="4" width="11.83203125" style="24" customWidth="1"/>
    <col min="5" max="5" width="41" style="24" customWidth="1"/>
    <col min="6" max="6" width="12.33203125" style="24" customWidth="1"/>
    <col min="7" max="9" width="12.66015625" style="24" customWidth="1"/>
    <col min="10" max="10" width="14.16015625" style="24" customWidth="1"/>
    <col min="11" max="13" width="13" style="24" customWidth="1"/>
    <col min="14" max="14" width="13.33203125" style="24" customWidth="1"/>
    <col min="15" max="17" width="13.16015625" style="24" customWidth="1"/>
    <col min="18" max="16384" width="9.16015625" style="24" customWidth="1"/>
  </cols>
  <sheetData>
    <row r="2" spans="2:17" ht="64.5" customHeight="1">
      <c r="B2" s="2"/>
      <c r="C2" s="2"/>
      <c r="D2" s="2"/>
      <c r="E2" s="23"/>
      <c r="F2" s="23"/>
      <c r="G2" s="23"/>
      <c r="H2" s="23"/>
      <c r="I2" s="23"/>
      <c r="J2" s="23"/>
      <c r="K2" s="23"/>
      <c r="L2" s="23"/>
      <c r="M2" s="236" t="s">
        <v>416</v>
      </c>
      <c r="N2" s="236"/>
      <c r="O2" s="236"/>
      <c r="P2" s="236"/>
      <c r="Q2" s="236"/>
    </row>
    <row r="3" spans="2:17" ht="32.25" customHeight="1">
      <c r="B3" s="2"/>
      <c r="C3" s="2"/>
      <c r="D3" s="2"/>
      <c r="E3" s="250" t="s">
        <v>324</v>
      </c>
      <c r="F3" s="250"/>
      <c r="G3" s="250"/>
      <c r="H3" s="250"/>
      <c r="I3" s="250"/>
      <c r="J3" s="250"/>
      <c r="K3" s="250"/>
      <c r="L3" s="250"/>
      <c r="M3" s="250"/>
      <c r="N3" s="1"/>
      <c r="O3" s="1"/>
      <c r="P3" s="1"/>
      <c r="Q3" s="1"/>
    </row>
    <row r="4" spans="2:21" ht="48.75" customHeight="1">
      <c r="B4" s="3"/>
      <c r="C4" s="3"/>
      <c r="D4" s="25"/>
      <c r="E4" s="250"/>
      <c r="F4" s="250"/>
      <c r="G4" s="250"/>
      <c r="H4" s="250"/>
      <c r="I4" s="250"/>
      <c r="J4" s="250"/>
      <c r="K4" s="250"/>
      <c r="L4" s="250"/>
      <c r="M4" s="250"/>
      <c r="N4" s="2"/>
      <c r="O4" s="2"/>
      <c r="P4" s="2"/>
      <c r="Q4" s="26"/>
      <c r="R4" s="23"/>
      <c r="S4" s="23"/>
      <c r="T4" s="23"/>
      <c r="U4" s="23"/>
    </row>
    <row r="5" spans="2:21" ht="15.75" customHeight="1">
      <c r="B5" s="3"/>
      <c r="C5" s="3"/>
      <c r="D5" s="25"/>
      <c r="E5" s="84"/>
      <c r="F5" s="84"/>
      <c r="G5" s="84"/>
      <c r="H5" s="84"/>
      <c r="I5" s="84"/>
      <c r="J5" s="84"/>
      <c r="K5" s="84"/>
      <c r="L5" s="84"/>
      <c r="M5" s="84"/>
      <c r="N5" s="2"/>
      <c r="O5" s="2"/>
      <c r="P5" s="2"/>
      <c r="Q5" s="68" t="s">
        <v>131</v>
      </c>
      <c r="R5" s="23"/>
      <c r="S5" s="23"/>
      <c r="T5" s="23"/>
      <c r="U5" s="23"/>
    </row>
    <row r="6" spans="1:21" ht="30.75" customHeight="1">
      <c r="A6" s="27"/>
      <c r="B6" s="251" t="s">
        <v>195</v>
      </c>
      <c r="C6" s="251" t="s">
        <v>11</v>
      </c>
      <c r="D6" s="251" t="s">
        <v>322</v>
      </c>
      <c r="E6" s="254" t="s">
        <v>323</v>
      </c>
      <c r="F6" s="259" t="s">
        <v>177</v>
      </c>
      <c r="G6" s="259"/>
      <c r="H6" s="259"/>
      <c r="I6" s="260"/>
      <c r="J6" s="261" t="s">
        <v>178</v>
      </c>
      <c r="K6" s="259"/>
      <c r="L6" s="259"/>
      <c r="M6" s="259"/>
      <c r="N6" s="262" t="s">
        <v>179</v>
      </c>
      <c r="O6" s="262"/>
      <c r="P6" s="262"/>
      <c r="Q6" s="262"/>
      <c r="R6" s="23"/>
      <c r="S6" s="23"/>
      <c r="T6" s="23"/>
      <c r="U6" s="23"/>
    </row>
    <row r="7" spans="1:21" ht="28.5" customHeight="1">
      <c r="A7" s="28"/>
      <c r="B7" s="252"/>
      <c r="C7" s="252"/>
      <c r="D7" s="252"/>
      <c r="E7" s="255"/>
      <c r="F7" s="254" t="s">
        <v>180</v>
      </c>
      <c r="G7" s="257" t="s">
        <v>181</v>
      </c>
      <c r="H7" s="258"/>
      <c r="I7" s="254" t="s">
        <v>182</v>
      </c>
      <c r="J7" s="254" t="s">
        <v>180</v>
      </c>
      <c r="K7" s="257" t="s">
        <v>181</v>
      </c>
      <c r="L7" s="258"/>
      <c r="M7" s="254" t="s">
        <v>182</v>
      </c>
      <c r="N7" s="254" t="s">
        <v>180</v>
      </c>
      <c r="O7" s="257" t="s">
        <v>181</v>
      </c>
      <c r="P7" s="258"/>
      <c r="Q7" s="254" t="s">
        <v>182</v>
      </c>
      <c r="R7" s="23"/>
      <c r="S7" s="23"/>
      <c r="T7" s="23"/>
      <c r="U7" s="23"/>
    </row>
    <row r="8" spans="1:21" ht="60" customHeight="1">
      <c r="A8" s="89"/>
      <c r="B8" s="253"/>
      <c r="C8" s="253"/>
      <c r="D8" s="253"/>
      <c r="E8" s="256"/>
      <c r="F8" s="256"/>
      <c r="G8" s="90" t="s">
        <v>264</v>
      </c>
      <c r="H8" s="90" t="s">
        <v>9</v>
      </c>
      <c r="I8" s="256"/>
      <c r="J8" s="256"/>
      <c r="K8" s="90" t="s">
        <v>264</v>
      </c>
      <c r="L8" s="90" t="s">
        <v>9</v>
      </c>
      <c r="M8" s="256"/>
      <c r="N8" s="256"/>
      <c r="O8" s="90" t="s">
        <v>264</v>
      </c>
      <c r="P8" s="90" t="s">
        <v>9</v>
      </c>
      <c r="Q8" s="256"/>
      <c r="R8" s="23"/>
      <c r="S8" s="23"/>
      <c r="T8" s="23"/>
      <c r="U8" s="23"/>
    </row>
    <row r="9" spans="1:17" s="30" customFormat="1" ht="20.25" customHeight="1">
      <c r="A9" s="29"/>
      <c r="B9" s="99" t="s">
        <v>191</v>
      </c>
      <c r="C9" s="99"/>
      <c r="D9" s="99"/>
      <c r="E9" s="100" t="s">
        <v>201</v>
      </c>
      <c r="F9" s="85"/>
      <c r="G9" s="85"/>
      <c r="H9" s="85"/>
      <c r="I9" s="85"/>
      <c r="J9" s="85"/>
      <c r="K9" s="85"/>
      <c r="L9" s="85"/>
      <c r="M9" s="86"/>
      <c r="N9" s="86"/>
      <c r="O9" s="86"/>
      <c r="P9" s="86"/>
      <c r="Q9" s="86"/>
    </row>
    <row r="10" spans="2:17" ht="14.25">
      <c r="B10" s="99" t="s">
        <v>188</v>
      </c>
      <c r="C10" s="99"/>
      <c r="D10" s="99"/>
      <c r="E10" s="100" t="s">
        <v>201</v>
      </c>
      <c r="F10" s="87"/>
      <c r="G10" s="87"/>
      <c r="H10" s="87"/>
      <c r="I10" s="87"/>
      <c r="J10" s="87"/>
      <c r="K10" s="87"/>
      <c r="L10" s="87"/>
      <c r="M10" s="88"/>
      <c r="N10" s="87"/>
      <c r="O10" s="88"/>
      <c r="P10" s="88"/>
      <c r="Q10" s="87"/>
    </row>
    <row r="11" spans="2:17" ht="15">
      <c r="B11" s="99" t="s">
        <v>247</v>
      </c>
      <c r="C11" s="104" t="s">
        <v>248</v>
      </c>
      <c r="D11" s="99" t="s">
        <v>249</v>
      </c>
      <c r="E11" s="163" t="s">
        <v>246</v>
      </c>
      <c r="F11" s="87"/>
      <c r="G11" s="87"/>
      <c r="H11" s="87"/>
      <c r="I11" s="87"/>
      <c r="J11" s="87"/>
      <c r="K11" s="87"/>
      <c r="L11" s="87"/>
      <c r="M11" s="88"/>
      <c r="N11" s="87"/>
      <c r="O11" s="88"/>
      <c r="P11" s="88"/>
      <c r="Q11" s="87"/>
    </row>
    <row r="12" spans="2:17" ht="27.75" customHeight="1">
      <c r="B12" s="73"/>
      <c r="C12" s="73"/>
      <c r="D12" s="81"/>
      <c r="E12" s="70" t="s">
        <v>8</v>
      </c>
      <c r="F12" s="87"/>
      <c r="G12" s="76"/>
      <c r="H12" s="76"/>
      <c r="I12" s="87"/>
      <c r="J12" s="76"/>
      <c r="K12" s="76"/>
      <c r="L12" s="76"/>
      <c r="M12" s="76"/>
      <c r="N12" s="87"/>
      <c r="O12" s="76"/>
      <c r="P12" s="76"/>
      <c r="Q12" s="87"/>
    </row>
    <row r="13" ht="9" customHeight="1"/>
    <row r="14" spans="1:17" s="98" customFormat="1" ht="25.5" customHeight="1">
      <c r="A14" s="97"/>
      <c r="B14" s="249" t="s">
        <v>253</v>
      </c>
      <c r="C14" s="249"/>
      <c r="D14" s="249"/>
      <c r="E14" s="249"/>
      <c r="F14" s="249"/>
      <c r="G14" s="249"/>
      <c r="H14" s="249"/>
      <c r="I14" s="249"/>
      <c r="J14" s="249"/>
      <c r="K14" s="249"/>
      <c r="L14" s="249"/>
      <c r="M14" s="249"/>
      <c r="N14" s="249"/>
      <c r="O14" s="249"/>
      <c r="P14" s="249"/>
      <c r="Q14" s="249"/>
    </row>
    <row r="15" spans="1:17" s="98" customFormat="1" ht="18.75" customHeight="1">
      <c r="A15" s="97"/>
      <c r="B15" s="248"/>
      <c r="C15" s="248"/>
      <c r="D15" s="248"/>
      <c r="E15" s="248"/>
      <c r="F15" s="248"/>
      <c r="G15" s="248"/>
      <c r="H15" s="248"/>
      <c r="I15" s="248"/>
      <c r="J15" s="248"/>
      <c r="K15" s="248"/>
      <c r="L15" s="248"/>
      <c r="M15" s="248"/>
      <c r="N15" s="248"/>
      <c r="O15" s="248"/>
      <c r="P15" s="248"/>
      <c r="Q15" s="248"/>
    </row>
    <row r="16" spans="1:17" s="98" customFormat="1" ht="31.5" customHeight="1">
      <c r="A16" s="97"/>
      <c r="B16" s="248"/>
      <c r="C16" s="248"/>
      <c r="D16" s="248"/>
      <c r="E16" s="248"/>
      <c r="F16" s="248"/>
      <c r="G16" s="248"/>
      <c r="H16" s="248"/>
      <c r="I16" s="248"/>
      <c r="J16" s="248"/>
      <c r="K16" s="248"/>
      <c r="L16" s="248"/>
      <c r="M16" s="248"/>
      <c r="N16" s="248"/>
      <c r="O16" s="248"/>
      <c r="P16" s="248"/>
      <c r="Q16" s="248"/>
    </row>
    <row r="17" spans="1:17" s="98" customFormat="1" ht="27" customHeight="1">
      <c r="A17" s="97"/>
      <c r="B17" s="248"/>
      <c r="C17" s="248"/>
      <c r="D17" s="248"/>
      <c r="E17" s="248"/>
      <c r="F17" s="248"/>
      <c r="G17" s="248"/>
      <c r="H17" s="248"/>
      <c r="I17" s="248"/>
      <c r="J17" s="248"/>
      <c r="K17" s="248"/>
      <c r="L17" s="248"/>
      <c r="M17" s="248"/>
      <c r="N17" s="248"/>
      <c r="O17" s="248"/>
      <c r="P17" s="248"/>
      <c r="Q17" s="248"/>
    </row>
  </sheetData>
  <sheetProtection/>
  <mergeCells count="22">
    <mergeCell ref="N6:Q6"/>
    <mergeCell ref="I7:I8"/>
    <mergeCell ref="N7:N8"/>
    <mergeCell ref="O7:P7"/>
    <mergeCell ref="Q7:Q8"/>
    <mergeCell ref="M7:M8"/>
    <mergeCell ref="G7:H7"/>
    <mergeCell ref="K7:L7"/>
    <mergeCell ref="J7:J8"/>
    <mergeCell ref="F6:I6"/>
    <mergeCell ref="J6:M6"/>
    <mergeCell ref="F7:F8"/>
    <mergeCell ref="B17:Q17"/>
    <mergeCell ref="M2:Q2"/>
    <mergeCell ref="E3:M4"/>
    <mergeCell ref="B6:B8"/>
    <mergeCell ref="C6:C8"/>
    <mergeCell ref="D6:D8"/>
    <mergeCell ref="B16:Q16"/>
    <mergeCell ref="B14:Q14"/>
    <mergeCell ref="B15:Q15"/>
    <mergeCell ref="E6:E8"/>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AD50"/>
  <sheetViews>
    <sheetView showGridLines="0" showZeros="0" view="pageBreakPreview" zoomScaleSheetLayoutView="100" zoomScalePageLayoutView="0" workbookViewId="0" topLeftCell="G13">
      <selection activeCell="D5" sqref="D5:O5"/>
    </sheetView>
  </sheetViews>
  <sheetFormatPr defaultColWidth="9.16015625" defaultRowHeight="12.75"/>
  <cols>
    <col min="1" max="1" width="0.328125" style="14" hidden="1" customWidth="1"/>
    <col min="2" max="2" width="4.33203125" style="14" hidden="1" customWidth="1"/>
    <col min="3" max="3" width="1.171875" style="14" hidden="1" customWidth="1"/>
    <col min="4" max="4" width="18.5" style="14" customWidth="1"/>
    <col min="5" max="5" width="43.5" style="14" customWidth="1"/>
    <col min="6" max="6" width="15.5" style="14" customWidth="1"/>
    <col min="7" max="7" width="20.33203125" style="14" customWidth="1"/>
    <col min="8" max="8" width="15.66015625" style="16" customWidth="1"/>
    <col min="9" max="11" width="15.83203125" style="16" customWidth="1"/>
    <col min="12" max="12" width="17.16015625" style="16" customWidth="1"/>
    <col min="13" max="13" width="16" style="16" customWidth="1"/>
    <col min="14" max="14" width="19.66015625" style="14" customWidth="1"/>
    <col min="15" max="15" width="16.66015625" style="14" customWidth="1"/>
    <col min="16" max="16" width="18.33203125" style="14" customWidth="1"/>
    <col min="17" max="17" width="14" style="14" customWidth="1"/>
    <col min="18" max="18" width="10" style="14" customWidth="1"/>
    <col min="19" max="19" width="15.16015625" style="14" customWidth="1"/>
    <col min="20" max="20" width="19.33203125" style="14" customWidth="1"/>
    <col min="21" max="21" width="20.66015625" style="14" customWidth="1"/>
    <col min="22" max="22" width="15.33203125" style="14" customWidth="1"/>
    <col min="23" max="23" width="19.16015625" style="14" customWidth="1"/>
    <col min="24" max="24" width="19.33203125" style="14" customWidth="1"/>
    <col min="25" max="25" width="21.66015625" style="14" customWidth="1"/>
    <col min="26" max="26" width="19.33203125" style="14" customWidth="1"/>
    <col min="27" max="27" width="26.16015625" style="14" customWidth="1"/>
    <col min="28" max="28" width="37.33203125" style="14" customWidth="1"/>
    <col min="29" max="29" width="17.16015625" style="14" customWidth="1"/>
    <col min="30" max="30" width="20.16015625" style="14" customWidth="1"/>
    <col min="31" max="16384" width="9.16015625" style="14" customWidth="1"/>
  </cols>
  <sheetData>
    <row r="1" spans="4:5" ht="22.5" customHeight="1">
      <c r="D1" s="45"/>
      <c r="E1" s="45"/>
    </row>
    <row r="3" ht="21.75" customHeight="1"/>
    <row r="4" spans="5:15" ht="86.25" customHeight="1">
      <c r="E4" s="12"/>
      <c r="F4" s="12"/>
      <c r="G4" s="12"/>
      <c r="H4" s="236" t="s">
        <v>417</v>
      </c>
      <c r="I4" s="236"/>
      <c r="J4" s="236"/>
      <c r="K4" s="236"/>
      <c r="L4" s="236"/>
      <c r="M4" s="236"/>
      <c r="N4" s="236"/>
      <c r="O4" s="236"/>
    </row>
    <row r="5" spans="1:15" ht="67.5" customHeight="1">
      <c r="A5" s="13"/>
      <c r="B5" s="13"/>
      <c r="C5" s="13"/>
      <c r="D5" s="272" t="s">
        <v>325</v>
      </c>
      <c r="E5" s="272"/>
      <c r="F5" s="272"/>
      <c r="G5" s="272"/>
      <c r="H5" s="272"/>
      <c r="I5" s="272"/>
      <c r="J5" s="272"/>
      <c r="K5" s="272"/>
      <c r="L5" s="272"/>
      <c r="M5" s="272"/>
      <c r="N5" s="272"/>
      <c r="O5" s="272"/>
    </row>
    <row r="6" spans="1:23" ht="21" customHeight="1" thickBot="1">
      <c r="A6" s="13"/>
      <c r="B6" s="13"/>
      <c r="C6" s="13"/>
      <c r="D6" s="169"/>
      <c r="E6" s="169"/>
      <c r="F6" s="169"/>
      <c r="G6" s="169"/>
      <c r="H6" s="169"/>
      <c r="I6" s="169"/>
      <c r="J6" s="169"/>
      <c r="K6" s="169"/>
      <c r="L6" s="169"/>
      <c r="M6" s="169"/>
      <c r="N6" s="169"/>
      <c r="O6" s="169"/>
      <c r="W6" t="s">
        <v>17</v>
      </c>
    </row>
    <row r="7" spans="1:23" ht="27" customHeight="1" thickBot="1">
      <c r="A7" s="13"/>
      <c r="B7" s="13"/>
      <c r="C7" s="13"/>
      <c r="D7" s="270" t="s">
        <v>161</v>
      </c>
      <c r="E7" s="173" t="s">
        <v>258</v>
      </c>
      <c r="F7" s="267" t="s">
        <v>260</v>
      </c>
      <c r="G7" s="268"/>
      <c r="H7" s="268"/>
      <c r="I7" s="268"/>
      <c r="J7" s="268"/>
      <c r="K7" s="268"/>
      <c r="L7" s="268"/>
      <c r="M7" s="268"/>
      <c r="N7" s="268"/>
      <c r="O7" s="268"/>
      <c r="P7" s="269"/>
      <c r="Q7" s="267" t="s">
        <v>261</v>
      </c>
      <c r="R7" s="268"/>
      <c r="S7" s="268"/>
      <c r="T7" s="268"/>
      <c r="U7" s="268"/>
      <c r="V7" s="268"/>
      <c r="W7" s="269"/>
    </row>
    <row r="8" spans="1:23" ht="32.25" thickBot="1">
      <c r="A8" s="13"/>
      <c r="B8" s="13"/>
      <c r="C8" s="13"/>
      <c r="D8" s="271"/>
      <c r="E8" s="174" t="s">
        <v>259</v>
      </c>
      <c r="F8" s="263" t="s">
        <v>262</v>
      </c>
      <c r="G8" s="264"/>
      <c r="H8" s="267" t="s">
        <v>263</v>
      </c>
      <c r="I8" s="268"/>
      <c r="J8" s="268"/>
      <c r="K8" s="268"/>
      <c r="L8" s="268"/>
      <c r="M8" s="268"/>
      <c r="N8" s="268"/>
      <c r="O8" s="269"/>
      <c r="P8" s="270" t="s">
        <v>264</v>
      </c>
      <c r="Q8" s="263" t="s">
        <v>262</v>
      </c>
      <c r="R8" s="264"/>
      <c r="S8" s="267" t="s">
        <v>263</v>
      </c>
      <c r="T8" s="268"/>
      <c r="U8" s="268"/>
      <c r="V8" s="269"/>
      <c r="W8" s="270" t="s">
        <v>264</v>
      </c>
    </row>
    <row r="9" spans="1:23" ht="40.5" customHeight="1" thickBot="1">
      <c r="A9" s="13"/>
      <c r="B9" s="13"/>
      <c r="C9" s="13"/>
      <c r="D9" s="271"/>
      <c r="E9" s="174"/>
      <c r="F9" s="265"/>
      <c r="G9" s="266"/>
      <c r="H9" s="267" t="s">
        <v>265</v>
      </c>
      <c r="I9" s="268"/>
      <c r="J9" s="268"/>
      <c r="K9" s="268"/>
      <c r="L9" s="268"/>
      <c r="M9" s="269"/>
      <c r="N9" s="267" t="s">
        <v>266</v>
      </c>
      <c r="O9" s="269"/>
      <c r="P9" s="271"/>
      <c r="Q9" s="265"/>
      <c r="R9" s="266"/>
      <c r="S9" s="267" t="s">
        <v>265</v>
      </c>
      <c r="T9" s="269"/>
      <c r="U9" s="267" t="s">
        <v>266</v>
      </c>
      <c r="V9" s="269"/>
      <c r="W9" s="271"/>
    </row>
    <row r="10" spans="1:23" ht="32.25" customHeight="1" thickBot="1">
      <c r="A10" s="13"/>
      <c r="B10" s="13"/>
      <c r="C10" s="13"/>
      <c r="D10" s="271"/>
      <c r="E10" s="174"/>
      <c r="F10" s="267" t="s">
        <v>267</v>
      </c>
      <c r="G10" s="268"/>
      <c r="H10" s="268"/>
      <c r="I10" s="268"/>
      <c r="J10" s="268"/>
      <c r="K10" s="268"/>
      <c r="L10" s="268"/>
      <c r="M10" s="268"/>
      <c r="N10" s="268"/>
      <c r="O10" s="269"/>
      <c r="P10" s="271"/>
      <c r="Q10" s="267" t="s">
        <v>268</v>
      </c>
      <c r="R10" s="268"/>
      <c r="S10" s="268"/>
      <c r="T10" s="268"/>
      <c r="U10" s="268"/>
      <c r="V10" s="269"/>
      <c r="W10" s="271"/>
    </row>
    <row r="11" spans="1:23" ht="407.25" customHeight="1" thickBot="1">
      <c r="A11" s="13"/>
      <c r="B11" s="13"/>
      <c r="C11" s="13"/>
      <c r="D11" s="273"/>
      <c r="E11" s="175"/>
      <c r="F11" s="120" t="s">
        <v>127</v>
      </c>
      <c r="G11" s="120" t="s">
        <v>120</v>
      </c>
      <c r="H11" s="120" t="s">
        <v>128</v>
      </c>
      <c r="I11" s="120" t="s">
        <v>210</v>
      </c>
      <c r="J11" s="120" t="s">
        <v>274</v>
      </c>
      <c r="K11" s="120" t="s">
        <v>250</v>
      </c>
      <c r="L11" s="120" t="s">
        <v>121</v>
      </c>
      <c r="M11" s="120" t="s">
        <v>104</v>
      </c>
      <c r="N11" s="176"/>
      <c r="O11" s="176"/>
      <c r="P11" s="271"/>
      <c r="Q11" s="173"/>
      <c r="R11" s="173"/>
      <c r="S11" s="120" t="s">
        <v>104</v>
      </c>
      <c r="T11" s="105" t="s">
        <v>105</v>
      </c>
      <c r="U11" s="173"/>
      <c r="V11" s="173"/>
      <c r="W11" s="271"/>
    </row>
    <row r="12" spans="1:23" ht="16.5" thickBot="1">
      <c r="A12" s="13"/>
      <c r="B12" s="13"/>
      <c r="C12" s="13"/>
      <c r="D12" s="171">
        <v>1</v>
      </c>
      <c r="E12" s="171">
        <v>2</v>
      </c>
      <c r="F12" s="171">
        <v>3</v>
      </c>
      <c r="G12" s="171">
        <v>4</v>
      </c>
      <c r="H12" s="171">
        <v>5</v>
      </c>
      <c r="I12" s="171"/>
      <c r="J12" s="171"/>
      <c r="K12" s="171"/>
      <c r="L12" s="171"/>
      <c r="M12" s="171">
        <v>6</v>
      </c>
      <c r="N12" s="171">
        <v>7</v>
      </c>
      <c r="O12" s="177">
        <v>8</v>
      </c>
      <c r="P12" s="178">
        <v>9</v>
      </c>
      <c r="Q12" s="179">
        <v>10</v>
      </c>
      <c r="R12" s="179">
        <v>11</v>
      </c>
      <c r="S12" s="179">
        <v>12</v>
      </c>
      <c r="T12" s="179">
        <v>13</v>
      </c>
      <c r="U12" s="179">
        <v>14</v>
      </c>
      <c r="V12" s="179">
        <v>15</v>
      </c>
      <c r="W12" s="180">
        <v>16</v>
      </c>
    </row>
    <row r="13" spans="1:23" ht="40.5" customHeight="1" thickBot="1">
      <c r="A13" s="183" t="s">
        <v>189</v>
      </c>
      <c r="B13" s="184" t="s">
        <v>176</v>
      </c>
      <c r="C13" s="185">
        <v>0</v>
      </c>
      <c r="D13" s="186">
        <v>22310200000</v>
      </c>
      <c r="E13" s="186" t="s">
        <v>150</v>
      </c>
      <c r="F13" s="187"/>
      <c r="G13" s="187"/>
      <c r="H13" s="188"/>
      <c r="I13" s="188"/>
      <c r="J13" s="188"/>
      <c r="K13" s="188"/>
      <c r="L13" s="188"/>
      <c r="M13" s="188"/>
      <c r="N13" s="188"/>
      <c r="O13" s="187"/>
      <c r="P13" s="189"/>
      <c r="Q13" s="189"/>
      <c r="R13" s="189"/>
      <c r="S13" s="197" t="s">
        <v>405</v>
      </c>
      <c r="T13" s="197">
        <v>13426100</v>
      </c>
      <c r="U13" s="197"/>
      <c r="V13" s="197"/>
      <c r="W13" s="197" t="s">
        <v>406</v>
      </c>
    </row>
    <row r="14" spans="1:23" ht="40.5" customHeight="1" thickBot="1">
      <c r="A14" s="202"/>
      <c r="B14" s="203"/>
      <c r="C14" s="204"/>
      <c r="D14" s="83">
        <v>22100000000</v>
      </c>
      <c r="E14" s="83" t="s">
        <v>160</v>
      </c>
      <c r="F14" s="205"/>
      <c r="G14" s="205" t="s">
        <v>304</v>
      </c>
      <c r="H14" s="206"/>
      <c r="I14" s="206"/>
      <c r="J14" s="206" t="s">
        <v>307</v>
      </c>
      <c r="K14" s="206" t="s">
        <v>308</v>
      </c>
      <c r="L14" s="206" t="s">
        <v>309</v>
      </c>
      <c r="M14" s="206"/>
      <c r="N14" s="206"/>
      <c r="O14" s="205"/>
      <c r="P14" s="197">
        <v>6314907</v>
      </c>
      <c r="Q14" s="207"/>
      <c r="R14" s="207"/>
      <c r="S14" s="197"/>
      <c r="T14" s="197"/>
      <c r="U14" s="197"/>
      <c r="V14" s="197"/>
      <c r="W14" s="197"/>
    </row>
    <row r="15" spans="1:23" ht="40.5" customHeight="1" thickBot="1">
      <c r="A15" s="202"/>
      <c r="B15" s="203"/>
      <c r="C15" s="204"/>
      <c r="D15" s="83">
        <v>22514000000</v>
      </c>
      <c r="E15" s="83" t="s">
        <v>302</v>
      </c>
      <c r="F15" s="205"/>
      <c r="G15" s="205"/>
      <c r="J15" s="206"/>
      <c r="K15" s="206"/>
      <c r="L15" s="206"/>
      <c r="M15" s="206" t="s">
        <v>395</v>
      </c>
      <c r="N15" s="206"/>
      <c r="O15" s="205"/>
      <c r="P15" s="197" t="s">
        <v>395</v>
      </c>
      <c r="Q15" s="207"/>
      <c r="R15" s="207"/>
      <c r="S15" s="197"/>
      <c r="T15" s="197"/>
      <c r="U15" s="197"/>
      <c r="V15" s="197"/>
      <c r="W15" s="197"/>
    </row>
    <row r="16" spans="1:23" ht="40.5" customHeight="1" thickBot="1">
      <c r="A16" s="190"/>
      <c r="B16" s="11"/>
      <c r="C16" s="48"/>
      <c r="D16" s="83"/>
      <c r="E16" s="83" t="s">
        <v>301</v>
      </c>
      <c r="F16" s="50" t="s">
        <v>303</v>
      </c>
      <c r="G16" s="50"/>
      <c r="H16" s="206" t="s">
        <v>305</v>
      </c>
      <c r="I16" s="206" t="s">
        <v>306</v>
      </c>
      <c r="J16" s="49"/>
      <c r="K16" s="49"/>
      <c r="L16" s="49"/>
      <c r="M16" s="49"/>
      <c r="N16" s="49"/>
      <c r="O16" s="50"/>
      <c r="P16" s="197">
        <v>57169900</v>
      </c>
      <c r="Q16" s="172"/>
      <c r="R16" s="172"/>
      <c r="S16" s="197"/>
      <c r="T16" s="197"/>
      <c r="U16" s="197"/>
      <c r="V16" s="197"/>
      <c r="W16" s="197"/>
    </row>
    <row r="17" spans="1:23" ht="39.75" customHeight="1" thickBot="1">
      <c r="A17" s="191">
        <v>13</v>
      </c>
      <c r="B17" s="192" t="s">
        <v>176</v>
      </c>
      <c r="C17" s="193">
        <v>0</v>
      </c>
      <c r="D17" s="194"/>
      <c r="E17" s="195" t="s">
        <v>338</v>
      </c>
      <c r="F17" s="196" t="s">
        <v>303</v>
      </c>
      <c r="G17" s="196" t="s">
        <v>304</v>
      </c>
      <c r="H17" s="197" t="s">
        <v>305</v>
      </c>
      <c r="I17" s="197" t="s">
        <v>306</v>
      </c>
      <c r="J17" s="197" t="s">
        <v>307</v>
      </c>
      <c r="K17" s="197" t="s">
        <v>308</v>
      </c>
      <c r="L17" s="197" t="s">
        <v>309</v>
      </c>
      <c r="M17" s="197" t="s">
        <v>395</v>
      </c>
      <c r="N17" s="197"/>
      <c r="O17" s="196"/>
      <c r="P17" s="197" t="s">
        <v>396</v>
      </c>
      <c r="Q17" s="198"/>
      <c r="R17" s="198"/>
      <c r="S17" s="197" t="s">
        <v>405</v>
      </c>
      <c r="T17" s="197">
        <v>13426100</v>
      </c>
      <c r="U17" s="197"/>
      <c r="V17" s="197"/>
      <c r="W17" s="197" t="s">
        <v>406</v>
      </c>
    </row>
    <row r="18" spans="1:30" s="17" customFormat="1" ht="31.5" customHeight="1">
      <c r="A18" s="181"/>
      <c r="B18" s="182"/>
      <c r="C18" s="182"/>
      <c r="D18" s="14"/>
      <c r="E18" s="249" t="s">
        <v>401</v>
      </c>
      <c r="F18" s="249"/>
      <c r="G18" s="249"/>
      <c r="H18" s="249"/>
      <c r="I18" s="249"/>
      <c r="J18" s="249"/>
      <c r="K18" s="249"/>
      <c r="L18" s="249"/>
      <c r="M18" s="249"/>
      <c r="N18" s="249"/>
      <c r="O18" s="249"/>
      <c r="P18" s="249"/>
      <c r="Q18" s="249"/>
      <c r="R18" s="249"/>
      <c r="S18" s="249"/>
      <c r="T18" s="249"/>
      <c r="U18" s="249"/>
      <c r="V18" s="249"/>
      <c r="W18" s="249"/>
      <c r="X18" s="249"/>
      <c r="Y18" s="14"/>
      <c r="Z18" s="14"/>
      <c r="AA18" s="14"/>
      <c r="AB18" s="14"/>
      <c r="AC18" s="14"/>
      <c r="AD18" s="14"/>
    </row>
    <row r="19" spans="1:3" ht="10.5" customHeight="1" thickBot="1">
      <c r="A19" s="15"/>
      <c r="B19" s="18"/>
      <c r="C19" s="18"/>
    </row>
    <row r="20" spans="1:30" s="150" customFormat="1" ht="18" customHeight="1" thickBot="1">
      <c r="A20" s="147"/>
      <c r="B20" s="148"/>
      <c r="C20" s="148"/>
      <c r="D20" s="149"/>
      <c r="E20" s="151" t="s">
        <v>157</v>
      </c>
      <c r="F20" s="152"/>
      <c r="G20" s="154" t="e">
        <f>+G17-'дод.3'!#REF!</f>
        <v>#REF!</v>
      </c>
      <c r="H20" s="154">
        <f>+H17-'дод.3'!P38</f>
        <v>36297260</v>
      </c>
      <c r="I20" s="154"/>
      <c r="J20" s="154"/>
      <c r="K20" s="154"/>
      <c r="L20" s="154"/>
      <c r="M20" s="153">
        <f>+M17-'дод.3'!P40</f>
        <v>-13286990</v>
      </c>
      <c r="N20" s="149"/>
      <c r="O20" s="149"/>
      <c r="P20" s="149"/>
      <c r="Q20" s="149"/>
      <c r="R20" s="149"/>
      <c r="S20" s="149"/>
      <c r="T20" s="149"/>
      <c r="U20" s="149"/>
      <c r="V20" s="149"/>
      <c r="W20" s="149"/>
      <c r="X20" s="149"/>
      <c r="Y20" s="149"/>
      <c r="Z20" s="149"/>
      <c r="AA20" s="149"/>
      <c r="AB20" s="149"/>
      <c r="AC20" s="149"/>
      <c r="AD20" s="149"/>
    </row>
    <row r="21" spans="1:30" s="19" customFormat="1" ht="12.75">
      <c r="A21" s="20"/>
      <c r="B21" s="21"/>
      <c r="C21" s="21"/>
      <c r="D21" s="14"/>
      <c r="E21" s="14"/>
      <c r="F21" s="14"/>
      <c r="G21" s="14"/>
      <c r="H21" s="16"/>
      <c r="I21" s="16"/>
      <c r="J21" s="16"/>
      <c r="K21" s="16"/>
      <c r="L21" s="16"/>
      <c r="M21" s="16"/>
      <c r="N21" s="14"/>
      <c r="O21" s="14"/>
      <c r="P21" s="14"/>
      <c r="Q21" s="14"/>
      <c r="R21" s="14"/>
      <c r="S21" s="14"/>
      <c r="T21" s="14"/>
      <c r="U21" s="14"/>
      <c r="V21" s="14"/>
      <c r="W21" s="14"/>
      <c r="X21" s="14"/>
      <c r="Y21" s="14"/>
      <c r="Z21" s="14"/>
      <c r="AA21" s="14"/>
      <c r="AB21" s="14"/>
      <c r="AC21" s="14"/>
      <c r="AD21" s="14"/>
    </row>
    <row r="22" spans="1:30" s="19" customFormat="1" ht="12.75">
      <c r="A22" s="20"/>
      <c r="B22" s="21"/>
      <c r="C22" s="21"/>
      <c r="D22" s="14"/>
      <c r="E22" s="14"/>
      <c r="F22" s="14"/>
      <c r="G22" s="14"/>
      <c r="H22" s="16"/>
      <c r="I22" s="16"/>
      <c r="J22" s="16"/>
      <c r="K22" s="16"/>
      <c r="L22" s="16"/>
      <c r="M22" s="16"/>
      <c r="N22" s="14"/>
      <c r="O22" s="14"/>
      <c r="P22" s="14"/>
      <c r="Q22" s="14"/>
      <c r="R22" s="14"/>
      <c r="S22" s="14"/>
      <c r="T22" s="14"/>
      <c r="U22" s="14"/>
      <c r="V22" s="14"/>
      <c r="W22" s="14"/>
      <c r="X22" s="14"/>
      <c r="Y22" s="14"/>
      <c r="Z22" s="14"/>
      <c r="AA22" s="14"/>
      <c r="AB22" s="14"/>
      <c r="AC22" s="14"/>
      <c r="AD22" s="14"/>
    </row>
    <row r="23" spans="1:30" s="19" customFormat="1" ht="12.75">
      <c r="A23" s="20"/>
      <c r="B23" s="21"/>
      <c r="C23" s="21"/>
      <c r="D23" s="14"/>
      <c r="E23" s="14"/>
      <c r="F23" s="14"/>
      <c r="G23" s="14"/>
      <c r="H23" s="16"/>
      <c r="I23" s="16"/>
      <c r="J23" s="16"/>
      <c r="K23" s="16"/>
      <c r="L23" s="16"/>
      <c r="M23" s="16"/>
      <c r="N23" s="14"/>
      <c r="O23" s="14"/>
      <c r="P23" s="14"/>
      <c r="Q23" s="14"/>
      <c r="R23" s="14"/>
      <c r="S23" s="14"/>
      <c r="T23" s="14"/>
      <c r="U23" s="14"/>
      <c r="V23" s="14"/>
      <c r="W23" s="14"/>
      <c r="X23" s="14"/>
      <c r="Y23" s="14"/>
      <c r="Z23" s="14"/>
      <c r="AA23" s="14"/>
      <c r="AB23" s="14"/>
      <c r="AC23" s="14"/>
      <c r="AD23" s="14"/>
    </row>
    <row r="24" spans="1:3" ht="12.75">
      <c r="A24" s="15"/>
      <c r="B24" s="18"/>
      <c r="C24" s="18"/>
    </row>
    <row r="25" spans="1:3" ht="12.75">
      <c r="A25" s="15"/>
      <c r="B25" s="18"/>
      <c r="C25" s="18"/>
    </row>
    <row r="26" spans="1:3" ht="12.75">
      <c r="A26" s="15"/>
      <c r="B26" s="18"/>
      <c r="C26" s="18"/>
    </row>
    <row r="27" spans="1:3" ht="12.75">
      <c r="A27" s="15"/>
      <c r="B27" s="18"/>
      <c r="C27" s="18"/>
    </row>
    <row r="28" spans="1:3" ht="12.75">
      <c r="A28" s="15"/>
      <c r="B28" s="18"/>
      <c r="C28" s="18"/>
    </row>
    <row r="29" spans="1:3" ht="12.75">
      <c r="A29" s="15"/>
      <c r="B29" s="18"/>
      <c r="C29" s="18"/>
    </row>
    <row r="30" spans="1:3" ht="12.75">
      <c r="A30" s="15"/>
      <c r="B30" s="18"/>
      <c r="C30" s="18"/>
    </row>
    <row r="31" spans="1:3" ht="12.75">
      <c r="A31" s="15"/>
      <c r="B31" s="18"/>
      <c r="C31" s="18"/>
    </row>
    <row r="32" spans="1:3" ht="12.75">
      <c r="A32" s="15"/>
      <c r="B32" s="18"/>
      <c r="C32" s="18"/>
    </row>
    <row r="33" spans="1:3" ht="12.75">
      <c r="A33" s="15"/>
      <c r="B33" s="18"/>
      <c r="C33" s="18"/>
    </row>
    <row r="34" spans="1:3" ht="12.75">
      <c r="A34" s="15"/>
      <c r="B34" s="18"/>
      <c r="C34" s="18"/>
    </row>
    <row r="35" spans="1:3" ht="12.75">
      <c r="A35" s="15"/>
      <c r="B35" s="18"/>
      <c r="C35" s="18"/>
    </row>
    <row r="36" spans="1:3" ht="12.75">
      <c r="A36" s="15"/>
      <c r="B36" s="18"/>
      <c r="C36" s="18"/>
    </row>
    <row r="37" spans="1:3" ht="12.75">
      <c r="A37" s="15"/>
      <c r="B37" s="18"/>
      <c r="C37" s="18"/>
    </row>
    <row r="38" spans="1:3" ht="12.75">
      <c r="A38" s="15"/>
      <c r="B38" s="18"/>
      <c r="C38" s="18"/>
    </row>
    <row r="39" spans="1:3" ht="12.75">
      <c r="A39" s="15"/>
      <c r="B39" s="18"/>
      <c r="C39" s="18"/>
    </row>
    <row r="40" spans="1:3" ht="12.75">
      <c r="A40" s="15"/>
      <c r="B40" s="18"/>
      <c r="C40" s="18"/>
    </row>
    <row r="41" spans="1:3" ht="12.75">
      <c r="A41" s="15"/>
      <c r="B41" s="18"/>
      <c r="C41" s="18"/>
    </row>
    <row r="42" spans="1:3" ht="12.75">
      <c r="A42" s="15"/>
      <c r="B42" s="18"/>
      <c r="C42" s="18"/>
    </row>
    <row r="43" spans="1:3" ht="12.75">
      <c r="A43" s="15"/>
      <c r="B43" s="18"/>
      <c r="C43" s="18"/>
    </row>
    <row r="44" spans="1:3" ht="12.75">
      <c r="A44" s="15"/>
      <c r="B44" s="18"/>
      <c r="C44" s="18"/>
    </row>
    <row r="45" spans="1:3" ht="12.75">
      <c r="A45" s="15"/>
      <c r="B45" s="18"/>
      <c r="C45" s="18"/>
    </row>
    <row r="46" spans="1:3" ht="12.75">
      <c r="A46" s="15"/>
      <c r="B46" s="18"/>
      <c r="C46" s="18"/>
    </row>
    <row r="47" ht="44.25" customHeight="1">
      <c r="A47" s="15"/>
    </row>
    <row r="48" ht="12.75">
      <c r="A48" s="15"/>
    </row>
    <row r="49" ht="12.75">
      <c r="A49" s="15"/>
    </row>
    <row r="50" ht="16.5" thickBot="1">
      <c r="C50" s="22"/>
    </row>
    <row r="60" ht="45.75" customHeight="1"/>
  </sheetData>
  <sheetProtection/>
  <mergeCells count="18">
    <mergeCell ref="E18:X18"/>
    <mergeCell ref="D5:O5"/>
    <mergeCell ref="H4:O4"/>
    <mergeCell ref="N9:O9"/>
    <mergeCell ref="D7:D11"/>
    <mergeCell ref="F7:P7"/>
    <mergeCell ref="Q7:W7"/>
    <mergeCell ref="F8:G9"/>
    <mergeCell ref="H8:O8"/>
    <mergeCell ref="P8:P11"/>
    <mergeCell ref="Q8:R9"/>
    <mergeCell ref="S8:V8"/>
    <mergeCell ref="W8:W11"/>
    <mergeCell ref="H9:M9"/>
    <mergeCell ref="S9:T9"/>
    <mergeCell ref="U9:V9"/>
    <mergeCell ref="F10:O10"/>
    <mergeCell ref="Q10:V10"/>
  </mergeCells>
  <printOptions horizontalCentered="1"/>
  <pageMargins left="0.1968503937007874" right="0" top="0.5905511811023623" bottom="0.3937007874015748" header="0.31496062992125984" footer="0.31496062992125984"/>
  <pageSetup fitToHeight="0" horizontalDpi="600" verticalDpi="600" orientation="landscape" paperSize="9" scale="54" r:id="rId1"/>
  <headerFooter alignWithMargins="0">
    <oddFooter>&amp;R&amp;P</oddFooter>
  </headerFooter>
  <colBreaks count="1" manualBreakCount="1">
    <brk id="16" min="3" max="17" man="1"/>
  </colBreaks>
</worksheet>
</file>

<file path=xl/worksheets/sheet6.xml><?xml version="1.0" encoding="utf-8"?>
<worksheet xmlns="http://schemas.openxmlformats.org/spreadsheetml/2006/main" xmlns:r="http://schemas.openxmlformats.org/officeDocument/2006/relationships">
  <dimension ref="A1:Q29"/>
  <sheetViews>
    <sheetView view="pageBreakPreview" zoomScale="90" zoomScaleSheetLayoutView="90" zoomScalePageLayoutView="0" workbookViewId="0" topLeftCell="B13">
      <selection activeCell="I23" sqref="I23"/>
    </sheetView>
  </sheetViews>
  <sheetFormatPr defaultColWidth="9.16015625" defaultRowHeight="12.75"/>
  <cols>
    <col min="1" max="1" width="3.83203125" style="6" hidden="1" customWidth="1"/>
    <col min="2" max="2" width="15.16015625" style="78" customWidth="1"/>
    <col min="3" max="3" width="14" style="78" customWidth="1"/>
    <col min="4" max="4" width="16" style="78" customWidth="1"/>
    <col min="5" max="5" width="48.5" style="6" customWidth="1"/>
    <col min="6" max="6" width="40" style="6" customWidth="1"/>
    <col min="7" max="10" width="21.16015625" style="6" customWidth="1"/>
    <col min="11" max="11" width="9.16015625" style="5" customWidth="1"/>
    <col min="12" max="12" width="10.16015625" style="5" bestFit="1" customWidth="1"/>
    <col min="13" max="16384" width="9.16015625" style="5" customWidth="1"/>
  </cols>
  <sheetData>
    <row r="1" spans="1:10" s="44" customFormat="1" ht="22.5" customHeight="1">
      <c r="A1" s="43"/>
      <c r="B1" s="222"/>
      <c r="C1" s="222"/>
      <c r="D1" s="222"/>
      <c r="E1" s="222"/>
      <c r="F1" s="222"/>
      <c r="G1" s="222"/>
      <c r="H1" s="222"/>
      <c r="I1" s="222"/>
      <c r="J1" s="222"/>
    </row>
    <row r="2" spans="7:10" ht="69.75" customHeight="1">
      <c r="G2" s="236" t="s">
        <v>418</v>
      </c>
      <c r="H2" s="236"/>
      <c r="I2" s="236"/>
      <c r="J2" s="236"/>
    </row>
    <row r="3" spans="1:10" ht="45" customHeight="1">
      <c r="A3" s="2"/>
      <c r="B3" s="240" t="s">
        <v>326</v>
      </c>
      <c r="C3" s="241"/>
      <c r="D3" s="241"/>
      <c r="E3" s="241"/>
      <c r="F3" s="241"/>
      <c r="G3" s="241"/>
      <c r="H3" s="241"/>
      <c r="I3" s="241"/>
      <c r="J3" s="241"/>
    </row>
    <row r="4" spans="2:10" ht="18.75">
      <c r="B4" s="79"/>
      <c r="C4" s="80"/>
      <c r="D4" s="80"/>
      <c r="E4" s="7"/>
      <c r="F4" s="91"/>
      <c r="G4" s="91"/>
      <c r="H4" s="92"/>
      <c r="I4" s="91"/>
      <c r="J4" s="68" t="s">
        <v>131</v>
      </c>
    </row>
    <row r="5" spans="1:10" ht="107.25" customHeight="1">
      <c r="A5" s="82"/>
      <c r="B5" s="51" t="s">
        <v>196</v>
      </c>
      <c r="C5" s="51" t="s">
        <v>11</v>
      </c>
      <c r="D5" s="51" t="s">
        <v>6</v>
      </c>
      <c r="E5" s="94" t="s">
        <v>12</v>
      </c>
      <c r="F5" s="69" t="s">
        <v>0</v>
      </c>
      <c r="G5" s="69" t="s">
        <v>1</v>
      </c>
      <c r="H5" s="69" t="s">
        <v>2</v>
      </c>
      <c r="I5" s="69" t="s">
        <v>3</v>
      </c>
      <c r="J5" s="69" t="s">
        <v>4</v>
      </c>
    </row>
    <row r="6" spans="1:10" s="32" customFormat="1" ht="22.5" customHeight="1">
      <c r="A6" s="31"/>
      <c r="B6" s="99" t="s">
        <v>191</v>
      </c>
      <c r="C6" s="99"/>
      <c r="D6" s="99"/>
      <c r="E6" s="100" t="s">
        <v>201</v>
      </c>
      <c r="F6" s="71"/>
      <c r="G6" s="71"/>
      <c r="H6" s="71"/>
      <c r="I6" s="71"/>
      <c r="J6" s="71"/>
    </row>
    <row r="7" spans="2:10" ht="28.5" customHeight="1">
      <c r="B7" s="99" t="s">
        <v>188</v>
      </c>
      <c r="C7" s="99"/>
      <c r="D7" s="99"/>
      <c r="E7" s="100" t="s">
        <v>201</v>
      </c>
      <c r="F7" s="72"/>
      <c r="G7" s="72"/>
      <c r="H7" s="72"/>
      <c r="I7" s="72"/>
      <c r="J7" s="72"/>
    </row>
    <row r="8" spans="2:10" ht="45">
      <c r="B8" s="99" t="s">
        <v>221</v>
      </c>
      <c r="C8" s="104" t="s">
        <v>222</v>
      </c>
      <c r="D8" s="104" t="s">
        <v>139</v>
      </c>
      <c r="E8" s="105" t="s">
        <v>223</v>
      </c>
      <c r="F8" s="105" t="s">
        <v>297</v>
      </c>
      <c r="G8" s="208">
        <v>2019</v>
      </c>
      <c r="H8" s="72"/>
      <c r="I8" s="72">
        <v>1873871</v>
      </c>
      <c r="J8" s="72"/>
    </row>
    <row r="9" spans="2:10" ht="45">
      <c r="B9" s="99" t="s">
        <v>221</v>
      </c>
      <c r="C9" s="104" t="s">
        <v>222</v>
      </c>
      <c r="D9" s="104" t="s">
        <v>139</v>
      </c>
      <c r="E9" s="105" t="s">
        <v>223</v>
      </c>
      <c r="F9" s="105" t="s">
        <v>298</v>
      </c>
      <c r="G9" s="208">
        <v>2019</v>
      </c>
      <c r="H9" s="72"/>
      <c r="I9" s="72">
        <v>1368024</v>
      </c>
      <c r="J9" s="72"/>
    </row>
    <row r="10" spans="2:10" ht="45">
      <c r="B10" s="99" t="s">
        <v>221</v>
      </c>
      <c r="C10" s="104" t="s">
        <v>222</v>
      </c>
      <c r="D10" s="104" t="s">
        <v>139</v>
      </c>
      <c r="E10" s="105" t="s">
        <v>223</v>
      </c>
      <c r="F10" s="105" t="s">
        <v>299</v>
      </c>
      <c r="G10" s="208">
        <v>2019</v>
      </c>
      <c r="H10" s="72"/>
      <c r="I10" s="72">
        <v>792835</v>
      </c>
      <c r="J10" s="72"/>
    </row>
    <row r="11" spans="2:10" ht="45">
      <c r="B11" s="99" t="s">
        <v>221</v>
      </c>
      <c r="C11" s="104" t="s">
        <v>222</v>
      </c>
      <c r="D11" s="104" t="s">
        <v>139</v>
      </c>
      <c r="E11" s="105" t="s">
        <v>223</v>
      </c>
      <c r="F11" s="105" t="s">
        <v>420</v>
      </c>
      <c r="G11" s="208">
        <v>2019</v>
      </c>
      <c r="H11" s="72"/>
      <c r="I11" s="72">
        <v>745928</v>
      </c>
      <c r="J11" s="72"/>
    </row>
    <row r="12" spans="2:10" ht="45">
      <c r="B12" s="99" t="s">
        <v>221</v>
      </c>
      <c r="C12" s="104" t="s">
        <v>222</v>
      </c>
      <c r="D12" s="104" t="s">
        <v>139</v>
      </c>
      <c r="E12" s="105" t="s">
        <v>223</v>
      </c>
      <c r="F12" s="105" t="s">
        <v>300</v>
      </c>
      <c r="G12" s="208">
        <v>2019</v>
      </c>
      <c r="H12" s="72"/>
      <c r="I12" s="72">
        <v>828742</v>
      </c>
      <c r="J12" s="72"/>
    </row>
    <row r="13" spans="2:10" ht="45">
      <c r="B13" s="99" t="s">
        <v>221</v>
      </c>
      <c r="C13" s="104" t="s">
        <v>222</v>
      </c>
      <c r="D13" s="104" t="s">
        <v>139</v>
      </c>
      <c r="E13" s="105" t="s">
        <v>223</v>
      </c>
      <c r="F13" s="105" t="s">
        <v>391</v>
      </c>
      <c r="G13" s="208">
        <v>2019</v>
      </c>
      <c r="H13" s="72"/>
      <c r="I13" s="72">
        <v>1027500</v>
      </c>
      <c r="J13" s="72"/>
    </row>
    <row r="14" spans="2:10" ht="45">
      <c r="B14" s="99" t="s">
        <v>221</v>
      </c>
      <c r="C14" s="104" t="s">
        <v>222</v>
      </c>
      <c r="D14" s="104" t="s">
        <v>139</v>
      </c>
      <c r="E14" s="105" t="s">
        <v>223</v>
      </c>
      <c r="F14" s="105" t="s">
        <v>421</v>
      </c>
      <c r="G14" s="208">
        <v>2019</v>
      </c>
      <c r="H14" s="72"/>
      <c r="I14" s="72">
        <v>402000</v>
      </c>
      <c r="J14" s="72"/>
    </row>
    <row r="15" spans="2:10" ht="45">
      <c r="B15" s="99" t="s">
        <v>221</v>
      </c>
      <c r="C15" s="104" t="s">
        <v>222</v>
      </c>
      <c r="D15" s="104" t="s">
        <v>139</v>
      </c>
      <c r="E15" s="105" t="s">
        <v>223</v>
      </c>
      <c r="F15" s="105" t="s">
        <v>422</v>
      </c>
      <c r="G15" s="208">
        <v>2019</v>
      </c>
      <c r="H15" s="72"/>
      <c r="I15" s="72">
        <v>38100</v>
      </c>
      <c r="J15" s="72"/>
    </row>
    <row r="16" spans="2:10" ht="30">
      <c r="B16" s="99" t="s">
        <v>357</v>
      </c>
      <c r="C16" s="104" t="s">
        <v>358</v>
      </c>
      <c r="D16" s="104" t="s">
        <v>205</v>
      </c>
      <c r="E16" s="105" t="s">
        <v>359</v>
      </c>
      <c r="F16" s="105" t="s">
        <v>366</v>
      </c>
      <c r="G16" s="208">
        <v>2019</v>
      </c>
      <c r="H16" s="72"/>
      <c r="I16" s="72">
        <v>150000</v>
      </c>
      <c r="J16" s="72"/>
    </row>
    <row r="17" spans="2:10" ht="75">
      <c r="B17" s="99" t="s">
        <v>369</v>
      </c>
      <c r="C17" s="104" t="s">
        <v>370</v>
      </c>
      <c r="D17" s="104" t="s">
        <v>245</v>
      </c>
      <c r="E17" s="105" t="s">
        <v>371</v>
      </c>
      <c r="F17" s="105" t="s">
        <v>372</v>
      </c>
      <c r="G17" s="208">
        <v>2019</v>
      </c>
      <c r="H17" s="72"/>
      <c r="I17" s="72">
        <v>21797</v>
      </c>
      <c r="J17" s="72"/>
    </row>
    <row r="18" spans="2:10" ht="60">
      <c r="B18" s="99" t="s">
        <v>369</v>
      </c>
      <c r="C18" s="104" t="s">
        <v>370</v>
      </c>
      <c r="D18" s="104" t="s">
        <v>245</v>
      </c>
      <c r="E18" s="105" t="s">
        <v>371</v>
      </c>
      <c r="F18" s="105" t="s">
        <v>373</v>
      </c>
      <c r="G18" s="208">
        <v>2019</v>
      </c>
      <c r="H18" s="72"/>
      <c r="I18" s="72">
        <v>49146.52</v>
      </c>
      <c r="J18" s="72"/>
    </row>
    <row r="19" spans="2:10" ht="60">
      <c r="B19" s="99" t="s">
        <v>369</v>
      </c>
      <c r="C19" s="104" t="s">
        <v>370</v>
      </c>
      <c r="D19" s="104" t="s">
        <v>245</v>
      </c>
      <c r="E19" s="105" t="s">
        <v>371</v>
      </c>
      <c r="F19" s="105" t="s">
        <v>374</v>
      </c>
      <c r="G19" s="208">
        <v>2019</v>
      </c>
      <c r="H19" s="72"/>
      <c r="I19" s="72">
        <v>14542.46</v>
      </c>
      <c r="J19" s="72"/>
    </row>
    <row r="20" spans="2:10" ht="60">
      <c r="B20" s="99" t="s">
        <v>369</v>
      </c>
      <c r="C20" s="104" t="s">
        <v>370</v>
      </c>
      <c r="D20" s="104" t="s">
        <v>245</v>
      </c>
      <c r="E20" s="105" t="s">
        <v>371</v>
      </c>
      <c r="F20" s="105" t="s">
        <v>375</v>
      </c>
      <c r="G20" s="208">
        <v>2019</v>
      </c>
      <c r="H20" s="72"/>
      <c r="I20" s="72">
        <v>34881.35</v>
      </c>
      <c r="J20" s="72"/>
    </row>
    <row r="21" spans="2:10" ht="60">
      <c r="B21" s="99" t="s">
        <v>378</v>
      </c>
      <c r="C21" s="104" t="s">
        <v>370</v>
      </c>
      <c r="D21" s="104" t="s">
        <v>245</v>
      </c>
      <c r="E21" s="105" t="s">
        <v>371</v>
      </c>
      <c r="F21" s="105" t="s">
        <v>379</v>
      </c>
      <c r="G21" s="208">
        <v>2019</v>
      </c>
      <c r="H21" s="72"/>
      <c r="I21" s="72">
        <v>1484129</v>
      </c>
      <c r="J21" s="72"/>
    </row>
    <row r="22" spans="2:10" ht="30">
      <c r="B22" s="99" t="s">
        <v>88</v>
      </c>
      <c r="C22" s="104" t="s">
        <v>89</v>
      </c>
      <c r="D22" s="104" t="s">
        <v>205</v>
      </c>
      <c r="E22" s="105" t="s">
        <v>90</v>
      </c>
      <c r="F22" s="105" t="s">
        <v>394</v>
      </c>
      <c r="G22" s="208">
        <v>2019</v>
      </c>
      <c r="H22" s="72"/>
      <c r="I22" s="72">
        <v>284990</v>
      </c>
      <c r="J22" s="72"/>
    </row>
    <row r="23" spans="2:10" ht="24.75" customHeight="1">
      <c r="B23" s="73"/>
      <c r="C23" s="73"/>
      <c r="D23" s="81"/>
      <c r="E23" s="70" t="s">
        <v>338</v>
      </c>
      <c r="F23" s="77"/>
      <c r="G23" s="77"/>
      <c r="H23" s="77">
        <f>SUM(H8:H12)</f>
        <v>0</v>
      </c>
      <c r="I23" s="77">
        <f>SUM(I8:I22)</f>
        <v>9116486.329999998</v>
      </c>
      <c r="J23" s="77">
        <f>SUM(J8:J9)</f>
        <v>0</v>
      </c>
    </row>
    <row r="25" spans="2:17" ht="42.75" customHeight="1">
      <c r="B25" s="249" t="s">
        <v>253</v>
      </c>
      <c r="C25" s="249"/>
      <c r="D25" s="249"/>
      <c r="E25" s="249"/>
      <c r="F25" s="249"/>
      <c r="G25" s="249"/>
      <c r="H25" s="249"/>
      <c r="I25" s="249"/>
      <c r="J25" s="249"/>
      <c r="K25" s="249"/>
      <c r="L25" s="249"/>
      <c r="M25" s="249"/>
      <c r="N25" s="249"/>
      <c r="O25" s="249"/>
      <c r="P25" s="249"/>
      <c r="Q25" s="249"/>
    </row>
    <row r="26" spans="2:17" ht="20.25" customHeight="1">
      <c r="B26" s="274"/>
      <c r="C26" s="274"/>
      <c r="D26" s="274"/>
      <c r="E26" s="274"/>
      <c r="F26" s="274"/>
      <c r="G26" s="274"/>
      <c r="H26" s="274"/>
      <c r="I26" s="274"/>
      <c r="J26" s="274"/>
      <c r="K26" s="274"/>
      <c r="L26" s="274"/>
      <c r="M26" s="274"/>
      <c r="N26" s="274"/>
      <c r="O26" s="274"/>
      <c r="P26" s="274"/>
      <c r="Q26" s="274"/>
    </row>
    <row r="27" spans="2:17" ht="20.25" customHeight="1">
      <c r="B27" s="248"/>
      <c r="C27" s="248"/>
      <c r="D27" s="248"/>
      <c r="E27" s="248"/>
      <c r="F27" s="248"/>
      <c r="G27" s="248"/>
      <c r="H27" s="248"/>
      <c r="I27" s="248"/>
      <c r="J27" s="248"/>
      <c r="K27" s="248"/>
      <c r="L27" s="248"/>
      <c r="M27" s="248"/>
      <c r="N27" s="248"/>
      <c r="O27" s="248"/>
      <c r="P27" s="248"/>
      <c r="Q27" s="248"/>
    </row>
    <row r="28" spans="2:17" ht="36.75" customHeight="1">
      <c r="B28" s="274"/>
      <c r="C28" s="274"/>
      <c r="D28" s="274"/>
      <c r="E28" s="274"/>
      <c r="F28" s="274"/>
      <c r="G28" s="274"/>
      <c r="H28" s="274"/>
      <c r="I28" s="274"/>
      <c r="J28" s="274"/>
      <c r="K28" s="96"/>
      <c r="L28" s="96"/>
      <c r="M28" s="96"/>
      <c r="N28" s="96"/>
      <c r="O28" s="96"/>
      <c r="P28" s="96"/>
      <c r="Q28" s="96"/>
    </row>
    <row r="29" spans="2:17" ht="21" customHeight="1">
      <c r="B29" s="248"/>
      <c r="C29" s="248"/>
      <c r="D29" s="248"/>
      <c r="E29" s="248"/>
      <c r="F29" s="248"/>
      <c r="G29" s="248"/>
      <c r="H29" s="248"/>
      <c r="I29" s="248"/>
      <c r="J29" s="248"/>
      <c r="K29" s="248"/>
      <c r="L29" s="248"/>
      <c r="M29" s="248"/>
      <c r="N29" s="248"/>
      <c r="O29" s="248"/>
      <c r="P29" s="248"/>
      <c r="Q29" s="248"/>
    </row>
  </sheetData>
  <sheetProtection/>
  <mergeCells count="8">
    <mergeCell ref="G2:J2"/>
    <mergeCell ref="B1:J1"/>
    <mergeCell ref="B3:J3"/>
    <mergeCell ref="B27:Q27"/>
    <mergeCell ref="B29:Q29"/>
    <mergeCell ref="B28:J28"/>
    <mergeCell ref="B26:Q26"/>
    <mergeCell ref="B25:Q25"/>
  </mergeCells>
  <printOptions horizontalCentered="1"/>
  <pageMargins left="0.8267716535433072" right="0" top="0.31496062992125984" bottom="0.31496062992125984" header="0.2362204724409449" footer="0.1968503937007874"/>
  <pageSetup horizontalDpi="600" verticalDpi="600" orientation="landscape" paperSize="9" scale="65" r:id="rId1"/>
  <headerFooter alignWithMargins="0">
    <oddFooter>&amp;R&amp;P</oddFooter>
  </headerFooter>
  <rowBreaks count="2" manualBreakCount="2">
    <brk id="27" min="1" max="10" man="1"/>
    <brk id="29" max="9" man="1"/>
  </rowBreaks>
</worksheet>
</file>

<file path=xl/worksheets/sheet7.xml><?xml version="1.0" encoding="utf-8"?>
<worksheet xmlns="http://schemas.openxmlformats.org/spreadsheetml/2006/main" xmlns:r="http://schemas.openxmlformats.org/officeDocument/2006/relationships">
  <dimension ref="A1:T49"/>
  <sheetViews>
    <sheetView view="pageBreakPreview" zoomScaleSheetLayoutView="100" zoomScalePageLayoutView="0" workbookViewId="0" topLeftCell="B37">
      <selection activeCell="J21" sqref="J21"/>
    </sheetView>
  </sheetViews>
  <sheetFormatPr defaultColWidth="9.16015625" defaultRowHeight="12.75"/>
  <cols>
    <col min="1" max="1" width="3.83203125" style="6" hidden="1" customWidth="1"/>
    <col min="2" max="2" width="16.5" style="78" customWidth="1"/>
    <col min="3" max="3" width="14.66015625" style="78" customWidth="1"/>
    <col min="4" max="4" width="16.83203125" style="78" customWidth="1"/>
    <col min="5" max="5" width="44.33203125" style="6" customWidth="1"/>
    <col min="6" max="6" width="45" style="6" customWidth="1"/>
    <col min="7" max="7" width="21.83203125" style="6" customWidth="1"/>
    <col min="8" max="8" width="13.5" style="6" customWidth="1"/>
    <col min="9" max="10" width="21.16015625" style="6" customWidth="1"/>
    <col min="11" max="11" width="24.66015625" style="6" customWidth="1"/>
    <col min="12" max="12" width="0.82421875" style="5" customWidth="1"/>
    <col min="13" max="16384" width="9.16015625" style="5" customWidth="1"/>
  </cols>
  <sheetData>
    <row r="1" spans="1:11" s="44" customFormat="1" ht="13.5" customHeight="1">
      <c r="A1" s="43"/>
      <c r="B1" s="222"/>
      <c r="C1" s="222"/>
      <c r="D1" s="222"/>
      <c r="E1" s="222"/>
      <c r="F1" s="222"/>
      <c r="G1" s="222"/>
      <c r="H1" s="222"/>
      <c r="I1" s="222"/>
      <c r="J1" s="222"/>
      <c r="K1" s="222"/>
    </row>
    <row r="2" spans="9:11" ht="63" customHeight="1">
      <c r="I2" s="236" t="s">
        <v>419</v>
      </c>
      <c r="J2" s="236"/>
      <c r="K2" s="236"/>
    </row>
    <row r="3" spans="1:11" ht="61.5" customHeight="1">
      <c r="A3" s="2"/>
      <c r="B3" s="240" t="s">
        <v>327</v>
      </c>
      <c r="C3" s="241"/>
      <c r="D3" s="241"/>
      <c r="E3" s="241"/>
      <c r="F3" s="241"/>
      <c r="G3" s="241"/>
      <c r="H3" s="241"/>
      <c r="I3" s="241"/>
      <c r="J3" s="241"/>
      <c r="K3" s="241"/>
    </row>
    <row r="4" spans="2:11" ht="12.75" customHeight="1">
      <c r="B4" s="79"/>
      <c r="C4" s="80"/>
      <c r="D4" s="80"/>
      <c r="E4" s="7"/>
      <c r="F4" s="91"/>
      <c r="G4" s="91"/>
      <c r="H4" s="91"/>
      <c r="I4" s="91"/>
      <c r="J4" s="92"/>
      <c r="K4" s="68" t="s">
        <v>131</v>
      </c>
    </row>
    <row r="5" spans="1:11" ht="36" customHeight="1">
      <c r="A5" s="82"/>
      <c r="B5" s="276" t="s">
        <v>196</v>
      </c>
      <c r="C5" s="276" t="s">
        <v>5</v>
      </c>
      <c r="D5" s="276" t="s">
        <v>6</v>
      </c>
      <c r="E5" s="276" t="s">
        <v>10</v>
      </c>
      <c r="F5" s="276" t="s">
        <v>192</v>
      </c>
      <c r="G5" s="276" t="s">
        <v>7</v>
      </c>
      <c r="H5" s="276" t="s">
        <v>8</v>
      </c>
      <c r="I5" s="276" t="s">
        <v>180</v>
      </c>
      <c r="J5" s="278" t="s">
        <v>181</v>
      </c>
      <c r="K5" s="279"/>
    </row>
    <row r="6" spans="1:11" ht="90" customHeight="1">
      <c r="A6" s="82"/>
      <c r="B6" s="277"/>
      <c r="C6" s="277"/>
      <c r="D6" s="277"/>
      <c r="E6" s="277"/>
      <c r="F6" s="277"/>
      <c r="G6" s="277"/>
      <c r="H6" s="277"/>
      <c r="I6" s="277"/>
      <c r="J6" s="69" t="s">
        <v>264</v>
      </c>
      <c r="K6" s="69" t="s">
        <v>9</v>
      </c>
    </row>
    <row r="7" spans="1:11" ht="21" customHeight="1">
      <c r="A7" s="82"/>
      <c r="B7" s="93">
        <v>1</v>
      </c>
      <c r="C7" s="93">
        <v>2</v>
      </c>
      <c r="D7" s="93">
        <v>3</v>
      </c>
      <c r="E7" s="93">
        <v>4</v>
      </c>
      <c r="F7" s="93">
        <v>5</v>
      </c>
      <c r="G7" s="93">
        <v>6</v>
      </c>
      <c r="H7" s="93">
        <v>7</v>
      </c>
      <c r="I7" s="93">
        <v>8</v>
      </c>
      <c r="J7" s="69">
        <v>9</v>
      </c>
      <c r="K7" s="69">
        <v>10</v>
      </c>
    </row>
    <row r="8" spans="1:11" s="32" customFormat="1" ht="22.5" customHeight="1">
      <c r="A8" s="31"/>
      <c r="B8" s="99" t="s">
        <v>191</v>
      </c>
      <c r="C8" s="99"/>
      <c r="D8" s="99"/>
      <c r="E8" s="100" t="s">
        <v>201</v>
      </c>
      <c r="F8" s="71"/>
      <c r="G8" s="71"/>
      <c r="H8" s="71"/>
      <c r="I8" s="71"/>
      <c r="J8" s="71"/>
      <c r="K8" s="71"/>
    </row>
    <row r="9" spans="2:11" ht="28.5" customHeight="1">
      <c r="B9" s="99" t="s">
        <v>188</v>
      </c>
      <c r="C9" s="99"/>
      <c r="D9" s="99"/>
      <c r="E9" s="100" t="s">
        <v>201</v>
      </c>
      <c r="F9" s="72"/>
      <c r="G9" s="72"/>
      <c r="H9" s="72"/>
      <c r="I9" s="72"/>
      <c r="J9" s="72"/>
      <c r="K9" s="72"/>
    </row>
    <row r="10" spans="2:11" ht="30">
      <c r="B10" s="99" t="s">
        <v>88</v>
      </c>
      <c r="C10" s="104" t="s">
        <v>89</v>
      </c>
      <c r="D10" s="104" t="s">
        <v>205</v>
      </c>
      <c r="E10" s="105" t="s">
        <v>90</v>
      </c>
      <c r="F10" s="74" t="s">
        <v>281</v>
      </c>
      <c r="G10" s="74" t="s">
        <v>328</v>
      </c>
      <c r="H10" s="217">
        <f>I10+J10</f>
        <v>4575235</v>
      </c>
      <c r="I10" s="103">
        <v>4124559</v>
      </c>
      <c r="J10" s="103">
        <v>450676</v>
      </c>
      <c r="K10" s="72">
        <v>450676</v>
      </c>
    </row>
    <row r="11" spans="2:11" ht="75">
      <c r="B11" s="99" t="s">
        <v>100</v>
      </c>
      <c r="C11" s="104" t="s">
        <v>101</v>
      </c>
      <c r="D11" s="104" t="s">
        <v>208</v>
      </c>
      <c r="E11" s="105" t="s">
        <v>209</v>
      </c>
      <c r="F11" s="74" t="s">
        <v>282</v>
      </c>
      <c r="G11" s="74" t="s">
        <v>329</v>
      </c>
      <c r="H11" s="74">
        <v>93949</v>
      </c>
      <c r="I11" s="75"/>
      <c r="J11" s="75">
        <v>93949</v>
      </c>
      <c r="K11" s="72"/>
    </row>
    <row r="12" spans="2:11" ht="60">
      <c r="B12" s="99" t="s">
        <v>96</v>
      </c>
      <c r="C12" s="104" t="s">
        <v>97</v>
      </c>
      <c r="D12" s="104" t="s">
        <v>206</v>
      </c>
      <c r="E12" s="105" t="s">
        <v>237</v>
      </c>
      <c r="F12" s="74" t="s">
        <v>283</v>
      </c>
      <c r="G12" s="74" t="s">
        <v>330</v>
      </c>
      <c r="H12" s="74">
        <v>150000</v>
      </c>
      <c r="I12" s="75"/>
      <c r="J12" s="75">
        <v>150000</v>
      </c>
      <c r="K12" s="72">
        <v>150000</v>
      </c>
    </row>
    <row r="13" spans="2:11" ht="75">
      <c r="B13" s="99" t="s">
        <v>216</v>
      </c>
      <c r="C13" s="104" t="s">
        <v>140</v>
      </c>
      <c r="D13" s="104" t="s">
        <v>207</v>
      </c>
      <c r="E13" s="105" t="s">
        <v>224</v>
      </c>
      <c r="F13" s="74" t="s">
        <v>336</v>
      </c>
      <c r="G13" s="74" t="s">
        <v>331</v>
      </c>
      <c r="H13" s="74">
        <v>373704</v>
      </c>
      <c r="I13" s="75">
        <v>373704</v>
      </c>
      <c r="J13" s="75"/>
      <c r="K13" s="72"/>
    </row>
    <row r="14" spans="2:11" ht="30">
      <c r="B14" s="99" t="s">
        <v>218</v>
      </c>
      <c r="C14" s="104" t="s">
        <v>219</v>
      </c>
      <c r="D14" s="104" t="s">
        <v>202</v>
      </c>
      <c r="E14" s="105" t="s">
        <v>220</v>
      </c>
      <c r="F14" s="74" t="s">
        <v>335</v>
      </c>
      <c r="G14" s="74" t="s">
        <v>334</v>
      </c>
      <c r="H14" s="74">
        <v>516000</v>
      </c>
      <c r="I14" s="72">
        <v>516000</v>
      </c>
      <c r="J14" s="72"/>
      <c r="K14" s="72"/>
    </row>
    <row r="15" spans="2:11" ht="45">
      <c r="B15" s="99" t="s">
        <v>85</v>
      </c>
      <c r="C15" s="104" t="s">
        <v>86</v>
      </c>
      <c r="D15" s="104" t="s">
        <v>204</v>
      </c>
      <c r="E15" s="105" t="s">
        <v>87</v>
      </c>
      <c r="F15" s="74" t="s">
        <v>285</v>
      </c>
      <c r="G15" s="74" t="s">
        <v>284</v>
      </c>
      <c r="H15" s="74">
        <v>30000</v>
      </c>
      <c r="I15" s="72">
        <v>30000</v>
      </c>
      <c r="J15" s="72"/>
      <c r="K15" s="72"/>
    </row>
    <row r="16" spans="2:11" ht="75">
      <c r="B16" s="99" t="s">
        <v>98</v>
      </c>
      <c r="C16" s="104" t="s">
        <v>99</v>
      </c>
      <c r="D16" s="104" t="s">
        <v>136</v>
      </c>
      <c r="E16" s="105" t="s">
        <v>236</v>
      </c>
      <c r="F16" s="74" t="s">
        <v>130</v>
      </c>
      <c r="G16" s="74" t="s">
        <v>286</v>
      </c>
      <c r="H16" s="74">
        <v>42500</v>
      </c>
      <c r="I16" s="160">
        <v>42500</v>
      </c>
      <c r="J16" s="75"/>
      <c r="K16" s="72"/>
    </row>
    <row r="17" spans="2:11" ht="75">
      <c r="B17" s="99" t="s">
        <v>91</v>
      </c>
      <c r="C17" s="104" t="s">
        <v>92</v>
      </c>
      <c r="D17" s="104" t="s">
        <v>136</v>
      </c>
      <c r="E17" s="105" t="s">
        <v>93</v>
      </c>
      <c r="F17" s="74" t="s">
        <v>130</v>
      </c>
      <c r="G17" s="74" t="s">
        <v>286</v>
      </c>
      <c r="H17" s="74">
        <v>158446</v>
      </c>
      <c r="I17" s="160">
        <v>158446</v>
      </c>
      <c r="J17" s="75"/>
      <c r="K17" s="72"/>
    </row>
    <row r="18" spans="2:11" ht="75">
      <c r="B18" s="99" t="s">
        <v>78</v>
      </c>
      <c r="C18" s="104" t="s">
        <v>79</v>
      </c>
      <c r="D18" s="104" t="s">
        <v>136</v>
      </c>
      <c r="E18" s="105" t="s">
        <v>80</v>
      </c>
      <c r="F18" s="74" t="s">
        <v>130</v>
      </c>
      <c r="G18" s="74" t="s">
        <v>286</v>
      </c>
      <c r="H18" s="74">
        <v>723532</v>
      </c>
      <c r="I18" s="160">
        <v>723532</v>
      </c>
      <c r="J18" s="75"/>
      <c r="K18" s="72"/>
    </row>
    <row r="19" spans="2:11" ht="45">
      <c r="B19" s="99" t="s">
        <v>228</v>
      </c>
      <c r="C19" s="104" t="s">
        <v>229</v>
      </c>
      <c r="D19" s="104" t="s">
        <v>84</v>
      </c>
      <c r="E19" s="105" t="s">
        <v>230</v>
      </c>
      <c r="F19" s="74" t="s">
        <v>244</v>
      </c>
      <c r="G19" s="74" t="s">
        <v>287</v>
      </c>
      <c r="H19" s="74">
        <v>113522</v>
      </c>
      <c r="I19" s="75">
        <v>1136522</v>
      </c>
      <c r="J19" s="75"/>
      <c r="K19" s="72"/>
    </row>
    <row r="20" spans="2:11" ht="69.75" customHeight="1">
      <c r="B20" s="99" t="s">
        <v>81</v>
      </c>
      <c r="C20" s="104" t="s">
        <v>82</v>
      </c>
      <c r="D20" s="104" t="s">
        <v>234</v>
      </c>
      <c r="E20" s="105" t="s">
        <v>83</v>
      </c>
      <c r="F20" s="74" t="s">
        <v>289</v>
      </c>
      <c r="G20" s="200" t="s">
        <v>290</v>
      </c>
      <c r="H20" s="200">
        <f>1168930+40795</f>
        <v>1209725</v>
      </c>
      <c r="I20" s="200">
        <f>1168930+40795</f>
        <v>1209725</v>
      </c>
      <c r="J20" s="75"/>
      <c r="K20" s="72"/>
    </row>
    <row r="21" spans="2:11" ht="58.5" customHeight="1">
      <c r="B21" s="99" t="s">
        <v>270</v>
      </c>
      <c r="C21" s="104" t="s">
        <v>271</v>
      </c>
      <c r="D21" s="104" t="s">
        <v>272</v>
      </c>
      <c r="E21" s="105" t="s">
        <v>273</v>
      </c>
      <c r="F21" s="74" t="s">
        <v>291</v>
      </c>
      <c r="G21" s="74" t="s">
        <v>332</v>
      </c>
      <c r="H21" s="200">
        <v>34000</v>
      </c>
      <c r="I21" s="201">
        <v>34000</v>
      </c>
      <c r="J21" s="75"/>
      <c r="K21" s="72"/>
    </row>
    <row r="22" spans="2:11" ht="69.75" customHeight="1">
      <c r="B22" s="99" t="s">
        <v>217</v>
      </c>
      <c r="C22" s="104" t="s">
        <v>140</v>
      </c>
      <c r="D22" s="104" t="s">
        <v>207</v>
      </c>
      <c r="E22" s="105" t="s">
        <v>224</v>
      </c>
      <c r="F22" s="74" t="s">
        <v>292</v>
      </c>
      <c r="G22" s="74" t="s">
        <v>333</v>
      </c>
      <c r="H22" s="200">
        <v>160000</v>
      </c>
      <c r="I22" s="201">
        <v>160000</v>
      </c>
      <c r="J22" s="75"/>
      <c r="K22" s="72"/>
    </row>
    <row r="23" spans="2:11" ht="73.5" customHeight="1">
      <c r="B23" s="99" t="s">
        <v>217</v>
      </c>
      <c r="C23" s="104" t="s">
        <v>140</v>
      </c>
      <c r="D23" s="104" t="s">
        <v>207</v>
      </c>
      <c r="E23" s="105" t="s">
        <v>224</v>
      </c>
      <c r="F23" s="74" t="s">
        <v>293</v>
      </c>
      <c r="G23" s="200" t="s">
        <v>294</v>
      </c>
      <c r="H23" s="200">
        <v>2840</v>
      </c>
      <c r="I23" s="201">
        <v>2840</v>
      </c>
      <c r="J23" s="75"/>
      <c r="K23" s="72"/>
    </row>
    <row r="24" spans="2:11" ht="57" customHeight="1">
      <c r="B24" s="99" t="s">
        <v>255</v>
      </c>
      <c r="C24" s="104" t="s">
        <v>256</v>
      </c>
      <c r="D24" s="104" t="s">
        <v>245</v>
      </c>
      <c r="E24" s="105" t="s">
        <v>257</v>
      </c>
      <c r="F24" s="74" t="s">
        <v>295</v>
      </c>
      <c r="G24" s="200" t="s">
        <v>296</v>
      </c>
      <c r="H24" s="200">
        <v>17900</v>
      </c>
      <c r="I24" s="201">
        <v>17900</v>
      </c>
      <c r="J24" s="75"/>
      <c r="K24" s="72"/>
    </row>
    <row r="25" spans="2:11" ht="155.25" customHeight="1">
      <c r="B25" s="99" t="s">
        <v>277</v>
      </c>
      <c r="C25" s="104" t="s">
        <v>278</v>
      </c>
      <c r="D25" s="104" t="s">
        <v>279</v>
      </c>
      <c r="E25" s="105" t="s">
        <v>280</v>
      </c>
      <c r="F25" s="74" t="s">
        <v>312</v>
      </c>
      <c r="G25" s="200" t="s">
        <v>288</v>
      </c>
      <c r="H25" s="200">
        <v>40000</v>
      </c>
      <c r="I25" s="201">
        <v>40000</v>
      </c>
      <c r="J25" s="75"/>
      <c r="K25" s="72"/>
    </row>
    <row r="26" spans="2:11" ht="54.75" customHeight="1">
      <c r="B26" s="99" t="s">
        <v>118</v>
      </c>
      <c r="C26" s="108">
        <v>5011</v>
      </c>
      <c r="D26" s="104" t="s">
        <v>145</v>
      </c>
      <c r="E26" s="105" t="s">
        <v>14</v>
      </c>
      <c r="F26" s="74" t="s">
        <v>314</v>
      </c>
      <c r="G26" s="200" t="s">
        <v>313</v>
      </c>
      <c r="H26" s="200">
        <v>110000</v>
      </c>
      <c r="I26" s="201">
        <v>110000</v>
      </c>
      <c r="J26" s="75"/>
      <c r="K26" s="72"/>
    </row>
    <row r="27" spans="2:11" ht="45.75" customHeight="1">
      <c r="B27" s="99" t="s">
        <v>119</v>
      </c>
      <c r="C27" s="108">
        <v>5012</v>
      </c>
      <c r="D27" s="104" t="s">
        <v>145</v>
      </c>
      <c r="E27" s="105" t="s">
        <v>151</v>
      </c>
      <c r="F27" s="74" t="s">
        <v>314</v>
      </c>
      <c r="G27" s="200" t="s">
        <v>313</v>
      </c>
      <c r="H27" s="200">
        <v>20000</v>
      </c>
      <c r="I27" s="201">
        <v>20000</v>
      </c>
      <c r="J27" s="75"/>
      <c r="K27" s="72"/>
    </row>
    <row r="28" spans="2:11" ht="60" customHeight="1">
      <c r="B28" s="99" t="s">
        <v>233</v>
      </c>
      <c r="C28" s="108">
        <v>3131</v>
      </c>
      <c r="D28" s="104" t="s">
        <v>204</v>
      </c>
      <c r="E28" s="105" t="s">
        <v>238</v>
      </c>
      <c r="F28" s="74" t="s">
        <v>315</v>
      </c>
      <c r="G28" s="200" t="s">
        <v>316</v>
      </c>
      <c r="H28" s="200">
        <v>113500</v>
      </c>
      <c r="I28" s="201">
        <v>113500</v>
      </c>
      <c r="J28" s="75"/>
      <c r="K28" s="72"/>
    </row>
    <row r="29" spans="2:11" ht="60" customHeight="1">
      <c r="B29" s="99" t="s">
        <v>346</v>
      </c>
      <c r="C29" s="104" t="s">
        <v>347</v>
      </c>
      <c r="D29" s="104" t="s">
        <v>272</v>
      </c>
      <c r="E29" s="105" t="s">
        <v>348</v>
      </c>
      <c r="F29" s="74" t="s">
        <v>349</v>
      </c>
      <c r="G29" s="200" t="s">
        <v>365</v>
      </c>
      <c r="H29" s="200">
        <v>59300</v>
      </c>
      <c r="I29" s="201">
        <v>59300</v>
      </c>
      <c r="J29" s="75"/>
      <c r="K29" s="72"/>
    </row>
    <row r="30" spans="2:11" ht="60" customHeight="1">
      <c r="B30" s="99" t="s">
        <v>350</v>
      </c>
      <c r="C30" s="104" t="s">
        <v>351</v>
      </c>
      <c r="D30" s="104" t="s">
        <v>140</v>
      </c>
      <c r="E30" s="105" t="s">
        <v>352</v>
      </c>
      <c r="F30" s="74" t="s">
        <v>293</v>
      </c>
      <c r="G30" s="200" t="s">
        <v>380</v>
      </c>
      <c r="H30" s="200">
        <v>370000</v>
      </c>
      <c r="I30" s="201">
        <v>152000</v>
      </c>
      <c r="J30" s="75">
        <v>218000</v>
      </c>
      <c r="K30" s="72">
        <v>218000</v>
      </c>
    </row>
    <row r="31" spans="2:11" ht="87" customHeight="1">
      <c r="B31" s="99" t="s">
        <v>339</v>
      </c>
      <c r="C31" s="104" t="s">
        <v>340</v>
      </c>
      <c r="D31" s="104" t="s">
        <v>341</v>
      </c>
      <c r="E31" s="105" t="s">
        <v>353</v>
      </c>
      <c r="F31" s="74" t="s">
        <v>354</v>
      </c>
      <c r="G31" s="200" t="s">
        <v>384</v>
      </c>
      <c r="H31" s="200">
        <v>5000</v>
      </c>
      <c r="I31" s="201">
        <v>5000</v>
      </c>
      <c r="J31" s="75"/>
      <c r="K31" s="72"/>
    </row>
    <row r="32" spans="2:11" ht="60" customHeight="1">
      <c r="B32" s="99" t="s">
        <v>339</v>
      </c>
      <c r="C32" s="104" t="s">
        <v>340</v>
      </c>
      <c r="D32" s="104" t="s">
        <v>341</v>
      </c>
      <c r="E32" s="105" t="s">
        <v>353</v>
      </c>
      <c r="F32" s="74" t="s">
        <v>355</v>
      </c>
      <c r="G32" s="200" t="s">
        <v>385</v>
      </c>
      <c r="H32" s="200">
        <v>10000</v>
      </c>
      <c r="I32" s="201">
        <v>10000</v>
      </c>
      <c r="J32" s="75"/>
      <c r="K32" s="72"/>
    </row>
    <row r="33" spans="2:11" ht="82.5" customHeight="1" thickBot="1">
      <c r="B33" s="99" t="s">
        <v>339</v>
      </c>
      <c r="C33" s="104" t="s">
        <v>340</v>
      </c>
      <c r="D33" s="104" t="s">
        <v>341</v>
      </c>
      <c r="E33" s="105" t="s">
        <v>353</v>
      </c>
      <c r="F33" s="74" t="s">
        <v>356</v>
      </c>
      <c r="G33" s="200" t="s">
        <v>386</v>
      </c>
      <c r="H33" s="200">
        <v>32000</v>
      </c>
      <c r="I33" s="201">
        <v>32000</v>
      </c>
      <c r="J33" s="75"/>
      <c r="K33" s="72"/>
    </row>
    <row r="34" spans="2:11" ht="60" customHeight="1">
      <c r="B34" s="99" t="s">
        <v>357</v>
      </c>
      <c r="C34" s="104" t="s">
        <v>358</v>
      </c>
      <c r="D34" s="104" t="s">
        <v>205</v>
      </c>
      <c r="E34" s="214" t="s">
        <v>359</v>
      </c>
      <c r="F34" s="215" t="s">
        <v>360</v>
      </c>
      <c r="G34" s="200" t="s">
        <v>367</v>
      </c>
      <c r="H34" s="200">
        <v>254810</v>
      </c>
      <c r="I34" s="201">
        <v>3066</v>
      </c>
      <c r="J34" s="75">
        <v>251744</v>
      </c>
      <c r="K34" s="72">
        <v>251744</v>
      </c>
    </row>
    <row r="35" spans="2:11" ht="60" customHeight="1" thickBot="1">
      <c r="B35" s="99" t="s">
        <v>361</v>
      </c>
      <c r="C35" s="104" t="s">
        <v>362</v>
      </c>
      <c r="D35" s="104" t="s">
        <v>205</v>
      </c>
      <c r="E35" s="105" t="s">
        <v>363</v>
      </c>
      <c r="F35" s="216" t="s">
        <v>364</v>
      </c>
      <c r="G35" s="200" t="s">
        <v>368</v>
      </c>
      <c r="H35" s="200">
        <v>23000</v>
      </c>
      <c r="I35" s="201">
        <v>23000</v>
      </c>
      <c r="J35" s="75"/>
      <c r="K35" s="72"/>
    </row>
    <row r="36" spans="2:11" ht="60" customHeight="1">
      <c r="B36" s="99" t="s">
        <v>369</v>
      </c>
      <c r="C36" s="104" t="s">
        <v>370</v>
      </c>
      <c r="D36" s="104" t="s">
        <v>245</v>
      </c>
      <c r="E36" s="105" t="s">
        <v>371</v>
      </c>
      <c r="F36" s="215" t="s">
        <v>360</v>
      </c>
      <c r="G36" s="200" t="s">
        <v>367</v>
      </c>
      <c r="H36" s="200">
        <v>97220.33</v>
      </c>
      <c r="I36" s="201"/>
      <c r="J36" s="75">
        <v>97220.33</v>
      </c>
      <c r="K36" s="72">
        <v>97220.33</v>
      </c>
    </row>
    <row r="37" spans="2:11" ht="72" customHeight="1">
      <c r="B37" s="99" t="s">
        <v>369</v>
      </c>
      <c r="C37" s="104" t="s">
        <v>370</v>
      </c>
      <c r="D37" s="104" t="s">
        <v>245</v>
      </c>
      <c r="E37" s="105" t="s">
        <v>371</v>
      </c>
      <c r="F37" s="74" t="s">
        <v>376</v>
      </c>
      <c r="G37" s="200" t="s">
        <v>377</v>
      </c>
      <c r="H37" s="200">
        <v>173147</v>
      </c>
      <c r="I37" s="201"/>
      <c r="J37" s="75">
        <v>173147</v>
      </c>
      <c r="K37" s="72">
        <v>173147</v>
      </c>
    </row>
    <row r="38" spans="2:11" ht="72" customHeight="1">
      <c r="B38" s="99" t="s">
        <v>350</v>
      </c>
      <c r="C38" s="104" t="s">
        <v>351</v>
      </c>
      <c r="D38" s="104" t="s">
        <v>140</v>
      </c>
      <c r="E38" s="105" t="s">
        <v>352</v>
      </c>
      <c r="F38" s="74" t="s">
        <v>398</v>
      </c>
      <c r="G38" s="200" t="s">
        <v>397</v>
      </c>
      <c r="H38" s="200">
        <v>4000</v>
      </c>
      <c r="I38" s="201">
        <v>4000</v>
      </c>
      <c r="J38" s="75"/>
      <c r="K38" s="72"/>
    </row>
    <row r="39" spans="2:11" ht="72" customHeight="1">
      <c r="B39" s="99" t="s">
        <v>350</v>
      </c>
      <c r="C39" s="104" t="s">
        <v>351</v>
      </c>
      <c r="D39" s="104" t="s">
        <v>140</v>
      </c>
      <c r="E39" s="105" t="s">
        <v>352</v>
      </c>
      <c r="F39" s="74" t="s">
        <v>399</v>
      </c>
      <c r="G39" s="200" t="s">
        <v>400</v>
      </c>
      <c r="H39" s="200">
        <v>4000</v>
      </c>
      <c r="I39" s="201">
        <v>4000</v>
      </c>
      <c r="J39" s="75"/>
      <c r="K39" s="72"/>
    </row>
    <row r="40" spans="2:11" ht="72" customHeight="1">
      <c r="B40" s="99" t="s">
        <v>350</v>
      </c>
      <c r="C40" s="104" t="s">
        <v>351</v>
      </c>
      <c r="D40" s="104" t="s">
        <v>140</v>
      </c>
      <c r="E40" s="105" t="s">
        <v>352</v>
      </c>
      <c r="F40" s="74" t="s">
        <v>312</v>
      </c>
      <c r="G40" s="200" t="s">
        <v>288</v>
      </c>
      <c r="H40" s="200">
        <v>8100</v>
      </c>
      <c r="I40" s="201">
        <v>8100</v>
      </c>
      <c r="J40" s="75"/>
      <c r="K40" s="72"/>
    </row>
    <row r="41" spans="2:11" ht="33.75" customHeight="1">
      <c r="B41" s="73"/>
      <c r="C41" s="73"/>
      <c r="D41" s="81"/>
      <c r="E41" s="167" t="s">
        <v>338</v>
      </c>
      <c r="F41" s="168"/>
      <c r="G41" s="170"/>
      <c r="H41" s="161">
        <f>SUM(H10:H40)</f>
        <v>9525430.33</v>
      </c>
      <c r="I41" s="161">
        <f>SUM(I10:I40)</f>
        <v>9113694</v>
      </c>
      <c r="J41" s="161">
        <f>SUM(J10:J40)</f>
        <v>1434736.33</v>
      </c>
      <c r="K41" s="161">
        <f>SUM(K10:K40)</f>
        <v>1340787.33</v>
      </c>
    </row>
    <row r="42" spans="6:8" ht="18.75">
      <c r="F42" s="159"/>
      <c r="G42" s="159"/>
      <c r="H42" s="159"/>
    </row>
    <row r="43" spans="2:20" ht="15.75" customHeight="1">
      <c r="B43" s="5"/>
      <c r="C43" s="249" t="s">
        <v>253</v>
      </c>
      <c r="D43" s="249"/>
      <c r="E43" s="249"/>
      <c r="F43" s="249"/>
      <c r="G43" s="249"/>
      <c r="H43" s="249"/>
      <c r="I43" s="249"/>
      <c r="J43" s="249"/>
      <c r="K43" s="249"/>
      <c r="L43" s="249"/>
      <c r="M43" s="249"/>
      <c r="N43" s="249"/>
      <c r="O43" s="249"/>
      <c r="P43" s="249"/>
      <c r="Q43" s="249"/>
      <c r="R43" s="249"/>
      <c r="S43" s="249"/>
      <c r="T43" s="249"/>
    </row>
    <row r="45" spans="2:11" ht="23.25" customHeight="1">
      <c r="B45" s="275" t="s">
        <v>194</v>
      </c>
      <c r="C45" s="275"/>
      <c r="D45" s="275"/>
      <c r="E45" s="275"/>
      <c r="F45" s="275"/>
      <c r="G45" s="275"/>
      <c r="H45" s="275"/>
      <c r="I45" s="275"/>
      <c r="J45" s="275"/>
      <c r="K45" s="275"/>
    </row>
    <row r="46" spans="2:19" ht="20.25" customHeight="1">
      <c r="B46" s="274" t="s">
        <v>197</v>
      </c>
      <c r="C46" s="274"/>
      <c r="D46" s="274"/>
      <c r="E46" s="274"/>
      <c r="F46" s="274"/>
      <c r="G46" s="274"/>
      <c r="H46" s="274"/>
      <c r="I46" s="274"/>
      <c r="J46" s="274"/>
      <c r="K46" s="274"/>
      <c r="L46" s="95"/>
      <c r="M46" s="95"/>
      <c r="N46" s="95"/>
      <c r="O46" s="95"/>
      <c r="P46" s="95"/>
      <c r="Q46" s="95"/>
      <c r="R46" s="95"/>
      <c r="S46" s="95"/>
    </row>
    <row r="47" spans="2:19" ht="20.25" customHeight="1">
      <c r="B47" s="248" t="s">
        <v>199</v>
      </c>
      <c r="C47" s="248"/>
      <c r="D47" s="248"/>
      <c r="E47" s="248"/>
      <c r="F47" s="248"/>
      <c r="G47" s="248"/>
      <c r="H47" s="248"/>
      <c r="I47" s="248"/>
      <c r="J47" s="248"/>
      <c r="K47" s="248"/>
      <c r="L47" s="248"/>
      <c r="M47" s="248"/>
      <c r="N47" s="248"/>
      <c r="O47" s="248"/>
      <c r="P47" s="248"/>
      <c r="Q47" s="248"/>
      <c r="R47" s="248"/>
      <c r="S47" s="248"/>
    </row>
    <row r="48" spans="2:19" ht="30.75" customHeight="1">
      <c r="B48" s="274" t="s">
        <v>198</v>
      </c>
      <c r="C48" s="274"/>
      <c r="D48" s="274"/>
      <c r="E48" s="274"/>
      <c r="F48" s="274"/>
      <c r="G48" s="274"/>
      <c r="H48" s="274"/>
      <c r="I48" s="274"/>
      <c r="J48" s="274"/>
      <c r="K48" s="274"/>
      <c r="L48" s="95"/>
      <c r="M48" s="95"/>
      <c r="N48" s="95"/>
      <c r="O48" s="95"/>
      <c r="P48" s="95"/>
      <c r="Q48" s="95"/>
      <c r="R48" s="95"/>
      <c r="S48" s="95"/>
    </row>
    <row r="49" spans="2:19" ht="21" customHeight="1">
      <c r="B49" s="248" t="s">
        <v>200</v>
      </c>
      <c r="C49" s="248"/>
      <c r="D49" s="248"/>
      <c r="E49" s="248"/>
      <c r="F49" s="248"/>
      <c r="G49" s="248"/>
      <c r="H49" s="248"/>
      <c r="I49" s="248"/>
      <c r="J49" s="248"/>
      <c r="K49" s="248"/>
      <c r="L49" s="248"/>
      <c r="M49" s="248"/>
      <c r="N49" s="248"/>
      <c r="O49" s="248"/>
      <c r="P49" s="248"/>
      <c r="Q49" s="248"/>
      <c r="R49" s="248"/>
      <c r="S49" s="248"/>
    </row>
  </sheetData>
  <sheetProtection/>
  <mergeCells count="18">
    <mergeCell ref="I5:I6"/>
    <mergeCell ref="J5:K5"/>
    <mergeCell ref="C5:C6"/>
    <mergeCell ref="D5:D6"/>
    <mergeCell ref="E5:E6"/>
    <mergeCell ref="F5:F6"/>
    <mergeCell ref="G5:G6"/>
    <mergeCell ref="H5:H6"/>
    <mergeCell ref="B49:S49"/>
    <mergeCell ref="B45:K45"/>
    <mergeCell ref="B1:K1"/>
    <mergeCell ref="I2:K2"/>
    <mergeCell ref="B3:K3"/>
    <mergeCell ref="B46:K46"/>
    <mergeCell ref="B48:K48"/>
    <mergeCell ref="B47:S47"/>
    <mergeCell ref="C43:T43"/>
    <mergeCell ref="B5:B6"/>
  </mergeCells>
  <printOptions/>
  <pageMargins left="0.7086614173228347" right="0.5118110236220472" top="0.35433070866141736" bottom="0.6299212598425197" header="0.35433070866141736" footer="0.35433070866141736"/>
  <pageSetup horizontalDpi="600" verticalDpi="600" orientation="landscape" paperSize="9" scale="59" r:id="rId1"/>
  <headerFooter alignWithMargins="0">
    <oddFooter>&amp;R&amp;P</oddFooter>
  </headerFooter>
  <rowBreaks count="1" manualBreakCount="1">
    <brk id="44"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Luda</cp:lastModifiedBy>
  <cp:lastPrinted>2019-06-07T07:09:46Z</cp:lastPrinted>
  <dcterms:created xsi:type="dcterms:W3CDTF">2014-01-17T10:52:16Z</dcterms:created>
  <dcterms:modified xsi:type="dcterms:W3CDTF">2019-06-20T10:53:40Z</dcterms:modified>
  <cp:category/>
  <cp:version/>
  <cp:contentType/>
  <cp:contentStatus/>
</cp:coreProperties>
</file>